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6"/>
  <workbookPr/>
  <mc:AlternateContent xmlns:mc="http://schemas.openxmlformats.org/markup-compatibility/2006">
    <mc:Choice Requires="x15">
      <x15ac:absPath xmlns:x15ac="http://schemas.microsoft.com/office/spreadsheetml/2010/11/ac" url="C:\Users\duarte.rvd\Desktop\LICITAÇÕES\Copeiragem\"/>
    </mc:Choice>
  </mc:AlternateContent>
  <xr:revisionPtr revIDLastSave="1420" documentId="13_ncr:1_{CE382CFE-6983-4F54-9F30-B82AEC77C0C6}" xr6:coauthVersionLast="47" xr6:coauthVersionMax="47" xr10:uidLastSave="{9E5F9917-95F2-4595-8966-DB5C0DBB0B2E}"/>
  <bookViews>
    <workbookView xWindow="-110" yWindow="-110" windowWidth="19420" windowHeight="10420" tabRatio="500" firstSheet="2" activeTab="2" xr2:uid="{00000000-000D-0000-FFFF-FFFF00000000}"/>
  </bookViews>
  <sheets>
    <sheet name="Demonstrativo do Valor Global" sheetId="45" r:id="rId1"/>
    <sheet name="Planilha de Custos Grupo I" sheetId="32" r:id="rId2"/>
    <sheet name="Mat_Ins_Copeiragem GRUPO I" sheetId="57" r:id="rId3"/>
    <sheet name="Uniformes" sheetId="11" r:id="rId4"/>
    <sheet name="Pesquisa Uniforme Carregador" sheetId="58"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4" i="58" l="1"/>
  <c r="K25" i="58"/>
  <c r="B25" i="11"/>
  <c r="B31" i="11"/>
  <c r="P42" i="57"/>
  <c r="N42" i="57"/>
  <c r="L42" i="57"/>
  <c r="P40" i="57"/>
  <c r="N40" i="57"/>
  <c r="L40" i="57"/>
  <c r="P26" i="57"/>
  <c r="N26" i="57"/>
  <c r="L26" i="57"/>
  <c r="P22" i="57"/>
  <c r="N22" i="57"/>
  <c r="L22" i="57"/>
  <c r="P20" i="57"/>
  <c r="N20" i="57"/>
  <c r="L20" i="57"/>
  <c r="L18" i="57"/>
  <c r="P18" i="57"/>
  <c r="N18" i="57"/>
  <c r="P14" i="57"/>
  <c r="N14" i="57"/>
  <c r="L14" i="57"/>
  <c r="P12" i="57"/>
  <c r="N12" i="57"/>
  <c r="L12" i="57"/>
  <c r="F50" i="32"/>
  <c r="P8" i="57"/>
  <c r="N8" i="57"/>
  <c r="L8" i="57"/>
  <c r="R126" i="57"/>
  <c r="Q126" i="57"/>
  <c r="R124" i="57"/>
  <c r="Q124" i="57"/>
  <c r="R122" i="57"/>
  <c r="Q122" i="57"/>
  <c r="R120" i="57"/>
  <c r="Q120" i="57"/>
  <c r="R118" i="57"/>
  <c r="Q118" i="57"/>
  <c r="R116" i="57"/>
  <c r="Q116" i="57"/>
  <c r="R114" i="57"/>
  <c r="Q114" i="57"/>
  <c r="R112" i="57"/>
  <c r="Q112" i="57"/>
  <c r="R110" i="57"/>
  <c r="Q110" i="57"/>
  <c r="R108" i="57"/>
  <c r="Q108" i="57"/>
  <c r="R106" i="57"/>
  <c r="Q106" i="57"/>
  <c r="R104" i="57"/>
  <c r="Q104" i="57"/>
  <c r="R102" i="57"/>
  <c r="Q102" i="57"/>
  <c r="R96" i="57"/>
  <c r="Q96" i="57"/>
  <c r="R94" i="57"/>
  <c r="Q94" i="57"/>
  <c r="R92" i="57"/>
  <c r="Q92" i="57"/>
  <c r="R88" i="57"/>
  <c r="Q88" i="57"/>
  <c r="R86" i="57"/>
  <c r="Q86" i="57"/>
  <c r="R84" i="57"/>
  <c r="Q84" i="57"/>
  <c r="R82" i="57"/>
  <c r="Q82" i="57"/>
  <c r="R78" i="57"/>
  <c r="Q78" i="57"/>
  <c r="R76" i="57"/>
  <c r="Q76" i="57"/>
  <c r="R74" i="57"/>
  <c r="Q74" i="57"/>
  <c r="R72" i="57"/>
  <c r="Q72" i="57"/>
  <c r="R70" i="57"/>
  <c r="Q70" i="57"/>
  <c r="R68" i="57"/>
  <c r="Q68" i="57"/>
  <c r="R64" i="57"/>
  <c r="Q64" i="57"/>
  <c r="R60" i="57"/>
  <c r="Q60" i="57"/>
  <c r="R58" i="57"/>
  <c r="Q58" i="57"/>
  <c r="R56" i="57"/>
  <c r="Q56" i="57"/>
  <c r="R54" i="57"/>
  <c r="Q54" i="57"/>
  <c r="R52" i="57"/>
  <c r="Q52" i="57"/>
  <c r="R50" i="57"/>
  <c r="Q50" i="57"/>
  <c r="R48" i="57"/>
  <c r="Q48" i="57"/>
  <c r="R46" i="57"/>
  <c r="Q46" i="57"/>
  <c r="R44" i="57"/>
  <c r="Q44" i="57"/>
  <c r="R42" i="57"/>
  <c r="Q42" i="57"/>
  <c r="R40" i="57"/>
  <c r="Q40" i="57"/>
  <c r="R38" i="57"/>
  <c r="Q38" i="57"/>
  <c r="R36" i="57"/>
  <c r="Q36" i="57"/>
  <c r="R34" i="57"/>
  <c r="Q34" i="57"/>
  <c r="R32" i="57"/>
  <c r="Q32" i="57"/>
  <c r="R30" i="57"/>
  <c r="Q30" i="57"/>
  <c r="R28" i="57"/>
  <c r="Q28" i="57"/>
  <c r="H24" i="11"/>
  <c r="H25" i="11"/>
  <c r="H26" i="11"/>
  <c r="F101" i="32"/>
  <c r="K19" i="58"/>
  <c r="R26" i="57"/>
  <c r="Q26" i="57"/>
  <c r="R24" i="57"/>
  <c r="Q24" i="57"/>
  <c r="R22" i="57"/>
  <c r="Q22" i="57"/>
  <c r="S22" i="57" s="1"/>
  <c r="R20" i="57"/>
  <c r="Q20" i="57"/>
  <c r="R18" i="57"/>
  <c r="Q18" i="57"/>
  <c r="S18" i="57" s="1"/>
  <c r="J17" i="58"/>
  <c r="H17" i="58"/>
  <c r="F17" i="58"/>
  <c r="K17" i="58" s="1"/>
  <c r="J15" i="58"/>
  <c r="H15" i="58"/>
  <c r="F15" i="58"/>
  <c r="K15" i="58" s="1"/>
  <c r="J13" i="58"/>
  <c r="H13" i="58"/>
  <c r="F13" i="58"/>
  <c r="K13" i="58" s="1"/>
  <c r="J11" i="58"/>
  <c r="H11" i="58"/>
  <c r="F11" i="58"/>
  <c r="K11" i="58" s="1"/>
  <c r="J9" i="58"/>
  <c r="H9" i="58"/>
  <c r="F9" i="58"/>
  <c r="K9" i="58" s="1"/>
  <c r="J7" i="58"/>
  <c r="H7" i="58"/>
  <c r="F7" i="58"/>
  <c r="K7" i="58" s="1"/>
  <c r="J5" i="58"/>
  <c r="H5" i="58"/>
  <c r="F5" i="58"/>
  <c r="K5" i="58" s="1"/>
  <c r="J3" i="58"/>
  <c r="H3" i="58"/>
  <c r="F3" i="58"/>
  <c r="K3" i="58" s="1"/>
  <c r="K18" i="58" s="1"/>
  <c r="R16" i="57"/>
  <c r="Q16" i="57"/>
  <c r="R14" i="57"/>
  <c r="R12" i="57"/>
  <c r="R10" i="57"/>
  <c r="R8" i="57"/>
  <c r="Q14" i="57"/>
  <c r="S10" i="57"/>
  <c r="Q12" i="57"/>
  <c r="Q10" i="57"/>
  <c r="Q8" i="57"/>
  <c r="B6" i="11"/>
  <c r="B5" i="11"/>
  <c r="H21" i="32"/>
  <c r="B7" i="11" l="1"/>
  <c r="N130" i="57"/>
  <c r="L130" i="57"/>
  <c r="L128" i="57"/>
  <c r="N100" i="57"/>
  <c r="L100" i="57"/>
  <c r="P98" i="57"/>
  <c r="N98" i="57"/>
  <c r="L98" i="57"/>
  <c r="P90" i="57"/>
  <c r="N90" i="57"/>
  <c r="L90" i="57"/>
  <c r="U88" i="57"/>
  <c r="W88" i="57" s="1"/>
  <c r="P80" i="57"/>
  <c r="N80" i="57"/>
  <c r="L80" i="57"/>
  <c r="U76" i="57"/>
  <c r="W76" i="57" s="1"/>
  <c r="N66" i="57"/>
  <c r="L66" i="57"/>
  <c r="L62" i="57"/>
  <c r="U60" i="57"/>
  <c r="W60" i="57" s="1"/>
  <c r="U44" i="57"/>
  <c r="W44" i="57" s="1"/>
  <c r="U28" i="57"/>
  <c r="W28" i="57" s="1"/>
  <c r="U74" i="57"/>
  <c r="W74" i="57" s="1"/>
  <c r="S30" i="57"/>
  <c r="D6" i="45"/>
  <c r="I135" i="32"/>
  <c r="B134" i="32"/>
  <c r="B133" i="32"/>
  <c r="B132" i="32"/>
  <c r="G118" i="32"/>
  <c r="E118" i="32"/>
  <c r="C118" i="32"/>
  <c r="G112" i="32"/>
  <c r="E112" i="32"/>
  <c r="C112" i="32"/>
  <c r="G108" i="32"/>
  <c r="E108" i="32"/>
  <c r="C108" i="32"/>
  <c r="G99" i="32"/>
  <c r="E99" i="32"/>
  <c r="C99" i="32"/>
  <c r="G92" i="32"/>
  <c r="E92" i="32"/>
  <c r="C92" i="32"/>
  <c r="H89" i="32"/>
  <c r="H95" i="32" s="1"/>
  <c r="F89" i="32"/>
  <c r="F95" i="32" s="1"/>
  <c r="D89" i="32"/>
  <c r="D95" i="32" s="1"/>
  <c r="G86" i="32"/>
  <c r="E86" i="32"/>
  <c r="C86" i="32"/>
  <c r="G81" i="32"/>
  <c r="E81" i="32"/>
  <c r="C81" i="32"/>
  <c r="G80" i="32"/>
  <c r="E80" i="32"/>
  <c r="C80" i="32"/>
  <c r="G79" i="32"/>
  <c r="E79" i="32"/>
  <c r="C79" i="32"/>
  <c r="G78" i="32"/>
  <c r="E78" i="32"/>
  <c r="C78" i="32"/>
  <c r="G75" i="32"/>
  <c r="E75" i="32"/>
  <c r="C75" i="32"/>
  <c r="G69" i="32"/>
  <c r="E69" i="32"/>
  <c r="C69" i="32"/>
  <c r="G67" i="32"/>
  <c r="E67" i="32"/>
  <c r="C67" i="32"/>
  <c r="G65" i="32"/>
  <c r="E65" i="32"/>
  <c r="C65" i="32"/>
  <c r="G57" i="32"/>
  <c r="E57" i="32"/>
  <c r="C57" i="32"/>
  <c r="H52" i="32"/>
  <c r="F52" i="32"/>
  <c r="D52" i="32"/>
  <c r="G48" i="32"/>
  <c r="E48" i="32"/>
  <c r="C48" i="32"/>
  <c r="G45" i="32"/>
  <c r="G70" i="32" s="1"/>
  <c r="E45" i="32"/>
  <c r="E70" i="32" s="1"/>
  <c r="C45" i="32"/>
  <c r="C70" i="32" s="1"/>
  <c r="G35" i="32"/>
  <c r="E35" i="32"/>
  <c r="C35" i="32"/>
  <c r="G31" i="32"/>
  <c r="G77" i="32" s="1"/>
  <c r="E31" i="32"/>
  <c r="C31" i="32"/>
  <c r="C77" i="32" s="1"/>
  <c r="G30" i="32"/>
  <c r="E30" i="32"/>
  <c r="C30" i="32"/>
  <c r="C32" i="32" s="1"/>
  <c r="G28" i="32"/>
  <c r="E28" i="32"/>
  <c r="C28" i="32"/>
  <c r="H25" i="32"/>
  <c r="F21" i="32"/>
  <c r="D21" i="32"/>
  <c r="D25" i="32" s="1"/>
  <c r="D120" i="32" s="1"/>
  <c r="B44" i="11"/>
  <c r="H101" i="32" s="1"/>
  <c r="H105" i="32" s="1"/>
  <c r="H124" i="32" s="1"/>
  <c r="H41" i="11"/>
  <c r="H42" i="11" s="1"/>
  <c r="H43" i="11" s="1"/>
  <c r="B40" i="11"/>
  <c r="B39" i="11"/>
  <c r="R62" i="57" l="1"/>
  <c r="Q62" i="57"/>
  <c r="R80" i="57"/>
  <c r="Q80" i="57"/>
  <c r="R90" i="57"/>
  <c r="Q90" i="57"/>
  <c r="R98" i="57"/>
  <c r="Q98" i="57"/>
  <c r="R100" i="57"/>
  <c r="Q100" i="57"/>
  <c r="R128" i="57"/>
  <c r="Q128" i="57"/>
  <c r="R130" i="57"/>
  <c r="Q130" i="57"/>
  <c r="R66" i="57"/>
  <c r="Q66" i="57"/>
  <c r="U118" i="57"/>
  <c r="W118" i="57" s="1"/>
  <c r="T100" i="57"/>
  <c r="S46" i="57"/>
  <c r="S34" i="57"/>
  <c r="T66" i="57"/>
  <c r="S88" i="57"/>
  <c r="U102" i="57"/>
  <c r="W102" i="57" s="1"/>
  <c r="S60" i="57"/>
  <c r="S90" i="57"/>
  <c r="U42" i="57"/>
  <c r="W42" i="57" s="1"/>
  <c r="S74" i="57"/>
  <c r="T76" i="57"/>
  <c r="S62" i="57"/>
  <c r="S78" i="57"/>
  <c r="S122" i="57"/>
  <c r="S14" i="57"/>
  <c r="S118" i="57"/>
  <c r="S26" i="57"/>
  <c r="U26" i="57"/>
  <c r="W26" i="57" s="1"/>
  <c r="T26" i="57"/>
  <c r="S104" i="57"/>
  <c r="S16" i="57"/>
  <c r="T74" i="57"/>
  <c r="S100" i="57"/>
  <c r="S120" i="57"/>
  <c r="S64" i="57"/>
  <c r="U100" i="57"/>
  <c r="W100" i="57" s="1"/>
  <c r="T28" i="57"/>
  <c r="S108" i="57"/>
  <c r="T10" i="57"/>
  <c r="T88" i="57"/>
  <c r="T116" i="57"/>
  <c r="U128" i="57"/>
  <c r="W128" i="57" s="1"/>
  <c r="T128" i="57"/>
  <c r="S128" i="57"/>
  <c r="U48" i="57"/>
  <c r="W48" i="57" s="1"/>
  <c r="T48" i="57"/>
  <c r="U80" i="57"/>
  <c r="W80" i="57" s="1"/>
  <c r="U32" i="57"/>
  <c r="W32" i="57" s="1"/>
  <c r="U12" i="57"/>
  <c r="W12" i="57" s="1"/>
  <c r="T14" i="57"/>
  <c r="U14" i="57"/>
  <c r="W14" i="57" s="1"/>
  <c r="S54" i="57"/>
  <c r="S72" i="57"/>
  <c r="U104" i="57"/>
  <c r="W104" i="57" s="1"/>
  <c r="T104" i="57"/>
  <c r="U116" i="57"/>
  <c r="W116" i="57" s="1"/>
  <c r="S12" i="57"/>
  <c r="U16" i="57"/>
  <c r="W16" i="57" s="1"/>
  <c r="T16" i="57"/>
  <c r="S28" i="57"/>
  <c r="U46" i="57"/>
  <c r="W46" i="57" s="1"/>
  <c r="T46" i="57"/>
  <c r="U58" i="57"/>
  <c r="W58" i="57" s="1"/>
  <c r="U122" i="57"/>
  <c r="W122" i="57" s="1"/>
  <c r="T122" i="57"/>
  <c r="U64" i="57"/>
  <c r="W64" i="57" s="1"/>
  <c r="T64" i="57"/>
  <c r="S44" i="57"/>
  <c r="U124" i="57"/>
  <c r="W124" i="57" s="1"/>
  <c r="U18" i="57"/>
  <c r="W18" i="57" s="1"/>
  <c r="T18" i="57"/>
  <c r="S32" i="57"/>
  <c r="T44" i="57"/>
  <c r="T62" i="57"/>
  <c r="U62" i="57"/>
  <c r="W62" i="57" s="1"/>
  <c r="S80" i="57"/>
  <c r="S96" i="57"/>
  <c r="S40" i="57"/>
  <c r="U90" i="57"/>
  <c r="W90" i="57" s="1"/>
  <c r="S56" i="57"/>
  <c r="U66" i="57"/>
  <c r="W66" i="57" s="1"/>
  <c r="S106" i="57"/>
  <c r="S124" i="57"/>
  <c r="U130" i="57"/>
  <c r="W130" i="57" s="1"/>
  <c r="S70" i="57"/>
  <c r="U120" i="57"/>
  <c r="W120" i="57" s="1"/>
  <c r="T120" i="57"/>
  <c r="S8" i="57"/>
  <c r="S48" i="57"/>
  <c r="U106" i="57"/>
  <c r="W106" i="57" s="1"/>
  <c r="T106" i="57"/>
  <c r="S116" i="57"/>
  <c r="T118" i="57"/>
  <c r="T30" i="57"/>
  <c r="U30" i="57"/>
  <c r="W30" i="57" s="1"/>
  <c r="U34" i="57"/>
  <c r="W34" i="57" s="1"/>
  <c r="T34" i="57"/>
  <c r="T78" i="57"/>
  <c r="U78" i="57"/>
  <c r="W78" i="57" s="1"/>
  <c r="S82" i="57"/>
  <c r="S92" i="57"/>
  <c r="S130" i="57"/>
  <c r="S42" i="57"/>
  <c r="H54" i="32"/>
  <c r="H61" i="32" s="1"/>
  <c r="D50" i="32"/>
  <c r="D54" i="32" s="1"/>
  <c r="D61" i="32" s="1"/>
  <c r="H31" i="32"/>
  <c r="G32" i="32"/>
  <c r="F25" i="32"/>
  <c r="F54" i="32"/>
  <c r="F61" i="32" s="1"/>
  <c r="H67" i="32"/>
  <c r="H120" i="32"/>
  <c r="H71" i="32"/>
  <c r="H30" i="32"/>
  <c r="H32" i="32" s="1"/>
  <c r="E32" i="32"/>
  <c r="D71" i="32"/>
  <c r="D31" i="32"/>
  <c r="D30" i="32"/>
  <c r="D67" i="32"/>
  <c r="E77" i="32"/>
  <c r="D69" i="32"/>
  <c r="D70" i="32" s="1"/>
  <c r="H69" i="32"/>
  <c r="H70" i="32" s="1"/>
  <c r="B41" i="11"/>
  <c r="B42" i="11"/>
  <c r="S110" i="57" l="1"/>
  <c r="S102" i="57"/>
  <c r="T102" i="57"/>
  <c r="S52" i="57"/>
  <c r="F69" i="32"/>
  <c r="F70" i="32" s="1"/>
  <c r="S66" i="57"/>
  <c r="T60" i="57"/>
  <c r="S84" i="57"/>
  <c r="S114" i="57"/>
  <c r="S76" i="57"/>
  <c r="S86" i="57"/>
  <c r="U10" i="57"/>
  <c r="W10" i="57" s="1"/>
  <c r="T108" i="57"/>
  <c r="U108" i="57"/>
  <c r="W108" i="57" s="1"/>
  <c r="S68" i="57"/>
  <c r="T90" i="57"/>
  <c r="S98" i="57"/>
  <c r="S24" i="57"/>
  <c r="T124" i="57"/>
  <c r="S58" i="57"/>
  <c r="T58" i="57"/>
  <c r="S38" i="57"/>
  <c r="S112" i="57"/>
  <c r="S126" i="57"/>
  <c r="U20" i="57"/>
  <c r="W20" i="57" s="1"/>
  <c r="T20" i="57"/>
  <c r="T96" i="57"/>
  <c r="U96" i="57"/>
  <c r="W96" i="57" s="1"/>
  <c r="U50" i="57"/>
  <c r="W50" i="57" s="1"/>
  <c r="T50" i="57"/>
  <c r="U68" i="57"/>
  <c r="W68" i="57" s="1"/>
  <c r="T68" i="57"/>
  <c r="T38" i="57"/>
  <c r="U38" i="57"/>
  <c r="W38" i="57" s="1"/>
  <c r="T42" i="57"/>
  <c r="T22" i="57"/>
  <c r="U22" i="57"/>
  <c r="W22" i="57" s="1"/>
  <c r="U72" i="57"/>
  <c r="W72" i="57" s="1"/>
  <c r="T72" i="57"/>
  <c r="T12" i="57"/>
  <c r="T112" i="57"/>
  <c r="U112" i="57"/>
  <c r="W112" i="57" s="1"/>
  <c r="U126" i="57"/>
  <c r="W126" i="57" s="1"/>
  <c r="T126" i="57"/>
  <c r="U36" i="57"/>
  <c r="W36" i="57" s="1"/>
  <c r="T36" i="57"/>
  <c r="T70" i="57"/>
  <c r="U70" i="57"/>
  <c r="W70" i="57" s="1"/>
  <c r="T130" i="57"/>
  <c r="U56" i="57"/>
  <c r="W56" i="57" s="1"/>
  <c r="T56" i="57"/>
  <c r="T8" i="57"/>
  <c r="U8" i="57"/>
  <c r="W8" i="57" s="1"/>
  <c r="S36" i="57"/>
  <c r="U52" i="57"/>
  <c r="W52" i="57" s="1"/>
  <c r="T52" i="57"/>
  <c r="U110" i="57"/>
  <c r="W110" i="57" s="1"/>
  <c r="T110" i="57"/>
  <c r="T54" i="57"/>
  <c r="U54" i="57"/>
  <c r="W54" i="57" s="1"/>
  <c r="T32" i="57"/>
  <c r="U40" i="57"/>
  <c r="W40" i="57" s="1"/>
  <c r="T40" i="57"/>
  <c r="U86" i="57"/>
  <c r="W86" i="57" s="1"/>
  <c r="T86" i="57"/>
  <c r="U92" i="57"/>
  <c r="W92" i="57" s="1"/>
  <c r="T92" i="57"/>
  <c r="U94" i="57"/>
  <c r="W94" i="57" s="1"/>
  <c r="T94" i="57"/>
  <c r="S20" i="57"/>
  <c r="U82" i="57"/>
  <c r="W82" i="57" s="1"/>
  <c r="T82" i="57"/>
  <c r="T84" i="57"/>
  <c r="U84" i="57"/>
  <c r="W84" i="57" s="1"/>
  <c r="T114" i="57"/>
  <c r="U114" i="57"/>
  <c r="W114" i="57" s="1"/>
  <c r="U98" i="57"/>
  <c r="W98" i="57" s="1"/>
  <c r="T98" i="57"/>
  <c r="S94" i="57"/>
  <c r="T24" i="57"/>
  <c r="U24" i="57"/>
  <c r="W24" i="57" s="1"/>
  <c r="T80" i="57"/>
  <c r="S50" i="57"/>
  <c r="F30" i="32"/>
  <c r="F67" i="32"/>
  <c r="F68" i="32" s="1"/>
  <c r="F31" i="32"/>
  <c r="D32" i="32"/>
  <c r="D41" i="32" s="1"/>
  <c r="F120" i="32"/>
  <c r="F71" i="32"/>
  <c r="D59" i="32"/>
  <c r="D68" i="32"/>
  <c r="D72" i="32" s="1"/>
  <c r="D122" i="32" s="1"/>
  <c r="H68" i="32"/>
  <c r="H72" i="32" s="1"/>
  <c r="H122" i="32" s="1"/>
  <c r="H43" i="32"/>
  <c r="H39" i="32"/>
  <c r="H38" i="32"/>
  <c r="H44" i="32"/>
  <c r="H41" i="32"/>
  <c r="H59" i="32"/>
  <c r="H37" i="32"/>
  <c r="H42" i="32"/>
  <c r="H40" i="32"/>
  <c r="B43" i="11"/>
  <c r="B47" i="11" s="1"/>
  <c r="B48" i="11" s="1"/>
  <c r="H40" i="11"/>
  <c r="W131" i="57" l="1"/>
  <c r="W132" i="57" s="1"/>
  <c r="W133" i="57" s="1"/>
  <c r="D102" i="32" s="1"/>
  <c r="D42" i="32"/>
  <c r="D38" i="32"/>
  <c r="D39" i="32"/>
  <c r="D44" i="32"/>
  <c r="F32" i="32"/>
  <c r="F39" i="32" s="1"/>
  <c r="D40" i="32"/>
  <c r="F72" i="32"/>
  <c r="F122" i="32" s="1"/>
  <c r="D43" i="32"/>
  <c r="D37" i="32"/>
  <c r="H45" i="32"/>
  <c r="H60" i="32" s="1"/>
  <c r="H62" i="32" s="1"/>
  <c r="H121" i="32" s="1"/>
  <c r="D45" i="32" l="1"/>
  <c r="D60" i="32" s="1"/>
  <c r="D80" i="32" s="1"/>
  <c r="F59" i="32"/>
  <c r="F40" i="32"/>
  <c r="F44" i="32"/>
  <c r="F41" i="32"/>
  <c r="F42" i="32"/>
  <c r="F37" i="32"/>
  <c r="F43" i="32"/>
  <c r="F38" i="32"/>
  <c r="H79" i="32"/>
  <c r="H80" i="32"/>
  <c r="H81" i="32"/>
  <c r="H78" i="32"/>
  <c r="H77" i="32"/>
  <c r="D81" i="32" l="1"/>
  <c r="D78" i="32"/>
  <c r="D82" i="32"/>
  <c r="D62" i="32"/>
  <c r="D121" i="32" s="1"/>
  <c r="D79" i="32"/>
  <c r="D77" i="32"/>
  <c r="D83" i="32" s="1"/>
  <c r="D94" i="32" s="1"/>
  <c r="D96" i="32" s="1"/>
  <c r="D123" i="32" s="1"/>
  <c r="F45" i="32"/>
  <c r="F60" i="32" s="1"/>
  <c r="F62" i="32" s="1"/>
  <c r="F121" i="32" s="1"/>
  <c r="F79" i="32" l="1"/>
  <c r="H82" i="32"/>
  <c r="H83" i="32" s="1"/>
  <c r="H94" i="32" s="1"/>
  <c r="H96" i="32" s="1"/>
  <c r="H123" i="32" s="1"/>
  <c r="H125" i="32" s="1"/>
  <c r="H110" i="32" s="1"/>
  <c r="F81" i="32"/>
  <c r="F80" i="32"/>
  <c r="F77" i="32"/>
  <c r="F83" i="32" s="1"/>
  <c r="F94" i="32" s="1"/>
  <c r="F96" i="32" s="1"/>
  <c r="F123" i="32" s="1"/>
  <c r="F78" i="32"/>
  <c r="F82" i="32"/>
  <c r="H111" i="32" l="1"/>
  <c r="H127" i="32" s="1"/>
  <c r="H114" i="32" l="1"/>
  <c r="C134" i="32"/>
  <c r="E4" i="45" s="1"/>
  <c r="H115" i="32"/>
  <c r="H113" i="32"/>
  <c r="G134" i="32" l="1"/>
  <c r="K134" i="32" s="1"/>
  <c r="H112" i="32"/>
  <c r="H116" i="32" s="1"/>
  <c r="H126" i="32" s="1"/>
  <c r="F105" i="32" l="1"/>
  <c r="F124" i="32" s="1"/>
  <c r="F125" i="32" l="1"/>
  <c r="F110" i="32" l="1"/>
  <c r="F111" i="32" s="1"/>
  <c r="F127" i="32" s="1"/>
  <c r="H7" i="11"/>
  <c r="C133" i="32" l="1"/>
  <c r="E5" i="45" s="1"/>
  <c r="F5" i="45" s="1"/>
  <c r="G5" i="45" s="1"/>
  <c r="E120" i="32"/>
  <c r="F128" i="32"/>
  <c r="E122" i="32"/>
  <c r="F115" i="32"/>
  <c r="F129" i="32"/>
  <c r="F114" i="32"/>
  <c r="E121" i="32"/>
  <c r="E123" i="32"/>
  <c r="F113" i="32"/>
  <c r="E124" i="32"/>
  <c r="F112" i="32" l="1"/>
  <c r="F116" i="32" s="1"/>
  <c r="F126" i="32" s="1"/>
  <c r="E126" i="32" s="1"/>
  <c r="E127" i="32" s="1"/>
  <c r="F4" i="45"/>
  <c r="G4" i="45" s="1"/>
  <c r="G133" i="32"/>
  <c r="K133" i="32" s="1"/>
  <c r="B10" i="11"/>
  <c r="D101" i="32" s="1"/>
  <c r="D105" i="32" s="1"/>
  <c r="D124" i="32" s="1"/>
  <c r="H8" i="11"/>
  <c r="H9" i="11" s="1"/>
  <c r="D125" i="32" l="1"/>
  <c r="B8" i="11"/>
  <c r="D110" i="32" l="1"/>
  <c r="D111" i="32" s="1"/>
  <c r="D127" i="32" s="1"/>
  <c r="B9" i="11"/>
  <c r="B13" i="11" s="1"/>
  <c r="B14" i="11" s="1"/>
  <c r="H6" i="11"/>
  <c r="D113" i="32" l="1"/>
  <c r="C121" i="32"/>
  <c r="C123" i="32"/>
  <c r="D114" i="32"/>
  <c r="D129" i="32"/>
  <c r="C122" i="32"/>
  <c r="C132" i="32"/>
  <c r="D115" i="32"/>
  <c r="D128" i="32"/>
  <c r="C120" i="32"/>
  <c r="C124" i="32"/>
  <c r="E3" i="45" l="1"/>
  <c r="F3" i="45" s="1"/>
  <c r="G3" i="45" s="1"/>
  <c r="G132" i="32"/>
  <c r="K132" i="32" s="1"/>
  <c r="K135" i="32" s="1"/>
  <c r="D112" i="32"/>
  <c r="D116" i="32" s="1"/>
  <c r="D126" i="32" s="1"/>
  <c r="C126" i="32" s="1"/>
  <c r="C127" i="32" s="1"/>
  <c r="G127" i="32"/>
  <c r="G128" i="32" s="1"/>
  <c r="E6" i="45" l="1"/>
  <c r="K136" i="32"/>
  <c r="K137" i="32"/>
  <c r="F6" i="45"/>
  <c r="G6" i="45" s="1"/>
  <c r="G129" i="32"/>
</calcChain>
</file>

<file path=xl/sharedStrings.xml><?xml version="1.0" encoding="utf-8"?>
<sst xmlns="http://schemas.openxmlformats.org/spreadsheetml/2006/main" count="762" uniqueCount="457">
  <si>
    <t>QUADRO DEMONSTRATIVO DO VALOR GLOBAL</t>
  </si>
  <si>
    <t>GRUPO</t>
  </si>
  <si>
    <t>ITEM</t>
  </si>
  <si>
    <t>ESPECIFICAÇÃO</t>
  </si>
  <si>
    <t>QUANTIDADE DE POSTOS</t>
  </si>
  <si>
    <t>VALOR POR POSTO</t>
  </si>
  <si>
    <t>VALOR MENSAL ACEITÁVEL</t>
  </si>
  <si>
    <t>VALOR GLOBAL MÁXIMO ACEITÁVEL (12 MESES)</t>
  </si>
  <si>
    <t>I</t>
  </si>
  <si>
    <t>Serviços de Copeiragem na ANPD (UASG 302122) - Órgão Participante</t>
  </si>
  <si>
    <t>Serviços de Garçom/Garçonete na ANPD (UASG 302122) - Órgão Participante</t>
  </si>
  <si>
    <t>Serviços de Carregador na ANPD (UASG 302122) - Órgão Participante</t>
  </si>
  <si>
    <t>VALOR TOTAL</t>
  </si>
  <si>
    <t>DISCRIMINAÇÃO DO SERVIÇO (DADOS REFERÊNTES À CONTRATAÇÃO)</t>
  </si>
  <si>
    <t>A</t>
  </si>
  <si>
    <t>Data de apresentação da proposta (dia/mês/ano):</t>
  </si>
  <si>
    <t>XX/XX/2025</t>
  </si>
  <si>
    <t>XX/XX/2023</t>
  </si>
  <si>
    <t>XX/XX/2021</t>
  </si>
  <si>
    <t>B</t>
  </si>
  <si>
    <t>Município/UF:</t>
  </si>
  <si>
    <t>Brasília/DF</t>
  </si>
  <si>
    <t>C</t>
  </si>
  <si>
    <t>Ano do Acordo, Convenção ou Dissídio Coletivo:</t>
  </si>
  <si>
    <t>D</t>
  </si>
  <si>
    <t>Número de meses da execução contratual:</t>
  </si>
  <si>
    <t>IDENTIFICAÇÃO DO SERVIÇO</t>
  </si>
  <si>
    <t>Tipo de serviço:</t>
  </si>
  <si>
    <t>Copeiragem</t>
  </si>
  <si>
    <t>Carregador</t>
  </si>
  <si>
    <t>Garçom</t>
  </si>
  <si>
    <t>Unidade de medida:</t>
  </si>
  <si>
    <t>Posto</t>
  </si>
  <si>
    <t>Quantidade total a contratar (em função da unidade de medida)</t>
  </si>
  <si>
    <t>DADOS PARA COMPOSIÇÃO DOS CUSTOS REFERENTES À MÃO DE OBRA</t>
  </si>
  <si>
    <t>Tipo de serviço (mesmo serviço com características distintas)</t>
  </si>
  <si>
    <t>Classificação Brasileira de Ocupações (CBO)</t>
  </si>
  <si>
    <t>5134-25</t>
  </si>
  <si>
    <t>7832-10</t>
  </si>
  <si>
    <t>5134-05</t>
  </si>
  <si>
    <t>Salário normativo da categoria profissional</t>
  </si>
  <si>
    <t>Categoria profissional (vinculada à execução patrimonial)</t>
  </si>
  <si>
    <t>SINDSERVIÇOS</t>
  </si>
  <si>
    <t>Data-base da categoria (dia/mês/ano)</t>
  </si>
  <si>
    <t>Módulo 1 - Composição da Remuneração</t>
  </si>
  <si>
    <t>Composição da Remuneração</t>
  </si>
  <si>
    <t>(R$)</t>
  </si>
  <si>
    <t>Salário Base</t>
  </si>
  <si>
    <t xml:space="preserve"> - Valores obtidos conforme pesquisa de mercado para cargos com atividades e qualificações compatíveis.</t>
  </si>
  <si>
    <t>Adicional de hora noturna (incluso hora noturna reduzida)</t>
  </si>
  <si>
    <t xml:space="preserve"> - CLT (arts. 8º, §2º, 59-A, §1º e 73, §§ 1º ao 5º) OBS: no cálculo já está computado o adicional de 20% e a hora noturna reduzida. Previsão de 5 horas noturnas por mês.</t>
  </si>
  <si>
    <t>Adicional de Insalubridade</t>
  </si>
  <si>
    <t xml:space="preserve"> - Salário mínimo de R$ 1.320,00, conforme MP nº 1.172/2023, e adicional de insalubridade de grau médio (20%), conforme manifestação do órgão participante.</t>
  </si>
  <si>
    <t>Adicional de Periculosidade</t>
  </si>
  <si>
    <t xml:space="preserve"> - Salário Base * 30% (conforme Art. 193, § 1º, da CLT).</t>
  </si>
  <si>
    <t>Total:</t>
  </si>
  <si>
    <t>Submódulo 2.1 - Encargos e Benefícios Anuais, Mensais e Diários</t>
  </si>
  <si>
    <t>2.1</t>
  </si>
  <si>
    <t>13º salário e adicional de férias</t>
  </si>
  <si>
    <t>(%)</t>
  </si>
  <si>
    <t xml:space="preserve"> - Conforme Lei nº 4.090/1962 e Art. 7º, inciso VIII da Constituição Federal de 1988. Percentual de provisão mensal: 1/12 = 8,33%</t>
  </si>
  <si>
    <t>13º (décimo terceiro) Salário</t>
  </si>
  <si>
    <t xml:space="preserve"> - Conforme Art. 7º, inciso XVII da Constituição Federal de 1988. Percentual de provisão mensal conforme Anexo XII da IN 05/17: (1/3)/11 = 3,03% ≅ 3,025%</t>
  </si>
  <si>
    <t>Férias e Adicional de Férias</t>
  </si>
  <si>
    <t>Submódulo 2.2 - Encargos Previdenciários (GPS), Fundo de Garantia por Tempo de Serviço (FGTS) e outras contribuições.</t>
  </si>
  <si>
    <t>2.2</t>
  </si>
  <si>
    <t>GPS, FGTS e outras contribuições</t>
  </si>
  <si>
    <t xml:space="preserve"> - 20%, conforme art. 22, inciso I, da Lei 8.212/91.</t>
  </si>
  <si>
    <t>INSS</t>
  </si>
  <si>
    <t xml:space="preserve"> - 2,50%, conforme art. 15, da Lei nº 9.424/96; do art. 2º do Decreto nº 3.142/99; e art. 212, § 5º da CF.</t>
  </si>
  <si>
    <t>Salário Educação</t>
  </si>
  <si>
    <t xml:space="preserve"> - O SAT a depender do grau de risco do serviço irá variar entre 1%, para risco leve, de 2%, para risco médio, e de 3% de risco grave. Além disso, o SAT pode ser multiplicado por um índice (FAP) que varia entre 0,5 e 2, fazendo com que este item da planilha possa varia entre 0,5 e 6,00%. Para fins de elaboração de preço de referência, usou-se o percentual intermediário de 3,00%. </t>
  </si>
  <si>
    <t>SAT</t>
  </si>
  <si>
    <t xml:space="preserve"> - 1,50%, conforme art. 30 da Lei nº 8.036/90.</t>
  </si>
  <si>
    <t>SESC ou SESI</t>
  </si>
  <si>
    <t xml:space="preserve"> - 1,00%, conforme Decreto-Lei nº 2.318/86.</t>
  </si>
  <si>
    <t>E</t>
  </si>
  <si>
    <t>SENAI - SENAC</t>
  </si>
  <si>
    <t xml:space="preserve"> - 0,60%, conforme Lei nº 8.029/90.</t>
  </si>
  <si>
    <t>F</t>
  </si>
  <si>
    <t>SEBRAE</t>
  </si>
  <si>
    <t xml:space="preserve"> - 0,20%, conf. art. 1º e 2º do Decreto-Lei nº 1.146/70.</t>
  </si>
  <si>
    <t>G</t>
  </si>
  <si>
    <t>INCRA</t>
  </si>
  <si>
    <t xml:space="preserve"> - 8,00%. O tributo está previsto no art. 7º, Inciso III, da Constituição Federal, tendo sido regulamentado pela Lei nº 8.030/90, art. 15.</t>
  </si>
  <si>
    <t>H</t>
  </si>
  <si>
    <t>FGTS</t>
  </si>
  <si>
    <t>Submódulo 2.3 - Benefícios Mensais e Diários</t>
  </si>
  <si>
    <t>2.3</t>
  </si>
  <si>
    <t>Benefícios Mensais e Diários</t>
  </si>
  <si>
    <t>Valor do Bilhete</t>
  </si>
  <si>
    <t xml:space="preserve"> - Foi considerado o valor da passagem de R$ 5,50, definido no inciso III do Art. 3º do Decreto nº 40.381/2020 do Distrito Federal</t>
  </si>
  <si>
    <t>Transporte</t>
  </si>
  <si>
    <t>Auxílio-Refeição/Alimentação</t>
  </si>
  <si>
    <t>Valor do Ticket</t>
  </si>
  <si>
    <t xml:space="preserve"> - Conforme Cláusula décima quinta da CCT DF000037/2023, Cláusula décima quarta da CCT DF000035/2023 e Cláusula décima da CCT DF000220/2023.</t>
  </si>
  <si>
    <t>Outros (especificar)</t>
  </si>
  <si>
    <t>Quadro Resumo do Módulo 2 - Encargos e Benefícios Anuais, Mensais e Diários</t>
  </si>
  <si>
    <t>13º (décimo terceiro) Salário, Férias e Adicional de Férias</t>
  </si>
  <si>
    <t>Módulo 3  - Provisão para Rescisão</t>
  </si>
  <si>
    <t>Provisão para Rescisão</t>
  </si>
  <si>
    <t xml:space="preserve"> - Percentual AVI = ((1 / 12) x 5,55%) = 0,46%. Onde: 5,55% = percentual de empregados demitidos que não trabalham durante o aviso prévio, conforme referência do Acórdão TCU nº 1.904/2007.</t>
  </si>
  <si>
    <t>Aviso prévio indenizado</t>
  </si>
  <si>
    <t>Incidência do FGTS sobre Aviso prévio indenizado</t>
  </si>
  <si>
    <t xml:space="preserve"> - Percentual AVT = [(7/30)/12] = 1,944%. Conforme Acórdão TCU 3006/2010–Plenário.</t>
  </si>
  <si>
    <t>Aviso prévio trabalhado</t>
  </si>
  <si>
    <t>Incidência de GPS, FGTS sobre o Aviso Prévio Trabalhado</t>
  </si>
  <si>
    <t xml:space="preserve"> - Foi adotado o percentual de 4%, considerando o total constante da recomendação da SEGES, decorrente da extinção da cobrança da contribuição social de 10% (dez por cento) devida pelos empregadores em caso de despedida sem justa causa.</t>
  </si>
  <si>
    <t>Multa do FGTS sobre o Aviso Prévio Trabalhado e Indenizado</t>
  </si>
  <si>
    <t>Submódulo 4.1 - Custo de Reposição do Profissional Ausente</t>
  </si>
  <si>
    <t>4.1</t>
  </si>
  <si>
    <t>Ausências Legais</t>
  </si>
  <si>
    <t xml:space="preserve"> - Conforme Art. 7º, inciso XVII da Constituição Federal de 1988. Percentual de provisão mensal conforme Anexo XII da IN 05/17: 1/11 = 9,09% ≅ 9,075%</t>
  </si>
  <si>
    <t>Substituto na cobertura de Férias</t>
  </si>
  <si>
    <t xml:space="preserve"> - Conforme metodologia adotada pela SEGES são 5,96 dias/ano. Cálculo: (5,96/30) x (1/12) = 0,0166 = 1,66%</t>
  </si>
  <si>
    <t>Substituto na cobertura de Ausências Legais</t>
  </si>
  <si>
    <t xml:space="preserve"> - De acordo com o Anuário Estatístico da Codeplan (2019), a taxa de fecundidade no Distrito Federal é de aproximadamente 1,5%. Dessa forma a provisão para este item corresponde a :((5/30)/12) x 0,015 = 0,02%. </t>
  </si>
  <si>
    <t>Substituto na cobertura de Licença-Paternidade</t>
  </si>
  <si>
    <t xml:space="preserve"> - De acordo com o Referencial Técnico de Custos do MPU, o percentual de frequência anual estimada de licenças por acidentes de trabalho é de aproximadamente 0,44%. Dessa forma o cálculo corresponde a: [(15 / 360) x 0,44%)], onde 15 = nº de dias da licença</t>
  </si>
  <si>
    <t>Substituto na cobertura de Ausência por acidente de trabalho</t>
  </si>
  <si>
    <t xml:space="preserve"> - O cálculo do afastamento maternidade é: 50%*(4/12)*1,5%*(8,33%+11,11%)=0,05%. Onde: 50%= percentual de mulheres nos postos; 4=nº de meses da licença e 1,5% é a taxa de fecundidade no DF, conforme Anuário Estatístico da CODEPLAN</t>
  </si>
  <si>
    <t>Substituto na cobertura de Afastamento Maternidade</t>
  </si>
  <si>
    <t>Substituto na cobertura de Outras ausências (especificar)</t>
  </si>
  <si>
    <t>Submódulo 4.2 - Substituto na Intrajornada</t>
  </si>
  <si>
    <t>4.2</t>
  </si>
  <si>
    <t>Substituto na Intrajornada</t>
  </si>
  <si>
    <t>Substituto na cobertura de Intervalo para repouso ou alimentação</t>
  </si>
  <si>
    <t>Quadro Resumo do Módulo 4 - Custo de Reposição do Profissional Ausente</t>
  </si>
  <si>
    <t>Custo de Reposição do Profissional Ausente</t>
  </si>
  <si>
    <t>Substituto nas Ausências Legais</t>
  </si>
  <si>
    <t>Módulo 5 - Insumos Diversos</t>
  </si>
  <si>
    <t>Insumos Diversos</t>
  </si>
  <si>
    <t>Uniformes/EPI</t>
  </si>
  <si>
    <t>Materiais</t>
  </si>
  <si>
    <t>Equipamentos</t>
  </si>
  <si>
    <t>Módulo 6 - Custos Indiretos, Tributos e Lucro</t>
  </si>
  <si>
    <t>CITL</t>
  </si>
  <si>
    <t>Custos Indiretos</t>
  </si>
  <si>
    <t xml:space="preserve"> - Foram utilizados os Manual de Preenchimento do Modelo de Planilhas de Custos e Formação de Preços do STJ e Nota Técnica do 1/2007 do STF para utilização das médias dos percentuais de lucro;</t>
  </si>
  <si>
    <t>Lucro</t>
  </si>
  <si>
    <t>Tributos</t>
  </si>
  <si>
    <t xml:space="preserve"> - Os Tributos adotados na precificação refletem ao maior cenário, tendo por base o Lucro Real, cuja alíquota para o PIS é 1,65%</t>
  </si>
  <si>
    <t>C.1</t>
  </si>
  <si>
    <t>PIS</t>
  </si>
  <si>
    <t xml:space="preserve"> - Os Tributos adotados na precificação refletem ao maior cenário, tendo por base o Lucro Real, cuja alíquota para o COFINS é 7,60%</t>
  </si>
  <si>
    <t>C.2</t>
  </si>
  <si>
    <t>COFINS</t>
  </si>
  <si>
    <t xml:space="preserve"> - Lei Complementar 116/2003. ISS = 5%</t>
  </si>
  <si>
    <t>C.3</t>
  </si>
  <si>
    <t>ISS</t>
  </si>
  <si>
    <t>Quadro Resumo do custo por empregado</t>
  </si>
  <si>
    <t>Valor por empregado</t>
  </si>
  <si>
    <t>Módulo 1 – Composição da Remuneração</t>
  </si>
  <si>
    <t>Módulo 2 – Encargos e Benefícios Anuais, Mensais e Diários</t>
  </si>
  <si>
    <t>Módulo 3 – Provisão para rescisão</t>
  </si>
  <si>
    <t>Módulo 4 – Custo de Reposição do profissional ausente</t>
  </si>
  <si>
    <t>Módulo 5 – Insumos Diversos</t>
  </si>
  <si>
    <t>Subtotal ( A + B + C + D + E)</t>
  </si>
  <si>
    <t>Valor total por empregado</t>
  </si>
  <si>
    <t>QUADRO DEMONSTRATIVO DO GRUPO VII</t>
  </si>
  <si>
    <t>Tipo de Serviço
(A)</t>
  </si>
  <si>
    <t>Valor Proposto por Empregado 
(B)</t>
  </si>
  <si>
    <t>Qtde. de Empregados por Posto
(C)</t>
  </si>
  <si>
    <t>Valor Proposto por Posto 
(D) = (B x C)</t>
  </si>
  <si>
    <t>Qtde. de Postos 
(E)</t>
  </si>
  <si>
    <t>Valor Total do Serviço
(F) = (D x E)</t>
  </si>
  <si>
    <t>II</t>
  </si>
  <si>
    <t>III</t>
  </si>
  <si>
    <t>Valor Mensal dos Serviços</t>
  </si>
  <si>
    <t>Valor Anual (12 meses)</t>
  </si>
  <si>
    <t>Valor Global da Proposta (30 meses)</t>
  </si>
  <si>
    <t>Item</t>
  </si>
  <si>
    <t>Descrição</t>
  </si>
  <si>
    <t>Unidade</t>
  </si>
  <si>
    <t>Quantidade</t>
  </si>
  <si>
    <t>PESQUISA DE PREÇOS INSUMOS - COPEIRAGEM</t>
  </si>
  <si>
    <t>Anexo II D - Portaria 449/2021</t>
  </si>
  <si>
    <t>Valor de referência</t>
  </si>
  <si>
    <t>Frequência 
- Semanal = "x52"
- Mensal = "x12"
- Trimestral = "x4"
- Bimestral = "x2"
- Semestral = "x2"
- Anual = "x1"
- Bienal = "/2"
- Toda Vigência do Contrato = "/10"</t>
  </si>
  <si>
    <t>Valor de referência x Frequência</t>
  </si>
  <si>
    <t>Painel de Preços</t>
  </si>
  <si>
    <t>Pesquisa em sítio eletrônico</t>
  </si>
  <si>
    <t>Cálculo dos Limites Superiores e Inferiores</t>
  </si>
  <si>
    <t>Valor unit.</t>
  </si>
  <si>
    <t>Valor total</t>
  </si>
  <si>
    <t>Desvio padrão</t>
  </si>
  <si>
    <t>Média de preços</t>
  </si>
  <si>
    <t>Limite Superior (média + desvio)</t>
  </si>
  <si>
    <t>Limite Inferior (média - desvio)</t>
  </si>
  <si>
    <t>Carrefour - 13/05/25</t>
  </si>
  <si>
    <t>Tenda Atacado - 15/05/25</t>
  </si>
  <si>
    <t>Super Pague Menos - 15/05/25</t>
  </si>
  <si>
    <t>Açúcar tipo cristal, branco de 1º qualidade, acondicionado em embalagem plástica de 5 Kg (cinco quilos), com todas as informações permanentes ao produto, previsto na legislação vigente, constando data de fabricação e validade nos pacotes individuais.</t>
  </si>
  <si>
    <t>5KG</t>
  </si>
  <si>
    <t>Angeloni - 15/05/25</t>
  </si>
  <si>
    <t>Bistek - 15/05/25</t>
  </si>
  <si>
    <t>Açúcar tipo refinado, branco de 1º qualidade, acondicionado em embalagem plástica de 1 Kg (um quilo), com todas as informações permanentes ao produto, previsto na legislação vigente, constando data de fabricação e validade nos pacotes individuais</t>
  </si>
  <si>
    <t>1KG</t>
  </si>
  <si>
    <t>Pague Menos - 15/05/25</t>
  </si>
  <si>
    <t>Mercantil - 15/05/25</t>
  </si>
  <si>
    <t>Adoçante líquido, dietético, com bico dosador conta-gotas, frasco com 100 ml e prazo de validade de no mínimo 6 (seis) meses. Ingredientes: água, edulcorantes artificiais; sucralose e acesulfame-k, espessante carboximetilcelulose, conservante benzoato de sódio e acidulante ácido cítrico, sem glúten.</t>
  </si>
  <si>
    <t>UNIDADE</t>
  </si>
  <si>
    <t>Pão de Açúcar - 15/05/25</t>
  </si>
  <si>
    <r>
      <t xml:space="preserve">Café torrado e moído, categoria Superior, (nível de qualidade de </t>
    </r>
    <r>
      <rPr>
        <b/>
        <sz val="11"/>
        <color rgb="FF000000"/>
        <rFont val="Calibri"/>
        <family val="2"/>
        <charset val="1"/>
      </rPr>
      <t>6</t>
    </r>
    <r>
      <rPr>
        <sz val="11"/>
        <color rgb="FF000000"/>
        <rFont val="Calibri"/>
        <family val="2"/>
        <charset val="1"/>
      </rPr>
      <t>,</t>
    </r>
    <r>
      <rPr>
        <b/>
        <sz val="11"/>
        <color rgb="FF000000"/>
        <rFont val="Calibri"/>
        <family val="2"/>
        <charset val="1"/>
      </rPr>
      <t>0</t>
    </r>
    <r>
      <rPr>
        <sz val="11"/>
        <color rgb="FF000000"/>
        <rFont val="Calibri"/>
        <family val="2"/>
        <charset val="1"/>
      </rPr>
      <t xml:space="preserve"> a </t>
    </r>
    <r>
      <rPr>
        <b/>
        <sz val="11"/>
        <color rgb="FF000000"/>
        <rFont val="Calibri"/>
        <family val="2"/>
        <charset val="1"/>
      </rPr>
      <t>7</t>
    </r>
    <r>
      <rPr>
        <sz val="11"/>
        <color rgb="FF000000"/>
        <rFont val="Calibri"/>
        <family val="2"/>
        <charset val="1"/>
      </rPr>
      <t>,</t>
    </r>
    <r>
      <rPr>
        <b/>
        <sz val="11"/>
        <color rgb="FF000000"/>
        <rFont val="Calibri"/>
        <family val="2"/>
        <charset val="1"/>
      </rPr>
      <t>2</t>
    </r>
    <r>
      <rPr>
        <sz val="11"/>
        <color rgb="FF000000"/>
        <rFont val="Calibri"/>
        <family val="2"/>
        <charset val="1"/>
      </rPr>
      <t xml:space="preserve"> pontos, classificação ABIC) pct de </t>
    </r>
    <r>
      <rPr>
        <b/>
        <sz val="11"/>
        <color rgb="FF000000"/>
        <rFont val="Calibri"/>
        <family val="2"/>
        <charset val="1"/>
      </rPr>
      <t>500</t>
    </r>
    <r>
      <rPr>
        <sz val="11"/>
        <color rgb="FF000000"/>
        <rFont val="Calibri"/>
        <family val="2"/>
        <charset val="1"/>
      </rPr>
      <t xml:space="preserve"> gramas, tipo Pilão/Melita ou similar</t>
    </r>
  </si>
  <si>
    <t>PACOTE</t>
  </si>
  <si>
    <t>Droga Raia - 14/05/25</t>
  </si>
  <si>
    <t>Oceano B2B - 14/05/25</t>
  </si>
  <si>
    <t>Chá em sachês – diversos (caixa c/ dez unidades) – capim cidreira, erva doce, camomila, hortelã. Validade residual mínima de 6 meses quando do recebimento.</t>
  </si>
  <si>
    <t>CAIXA</t>
  </si>
  <si>
    <t>Redecompras.com - 15/05/25</t>
  </si>
  <si>
    <t>Extrabom - 15/05/25</t>
  </si>
  <si>
    <t>Drogaria Araújo - 15/05/25</t>
  </si>
  <si>
    <t>Água Mineral Vasilhame (20 litros) com PH 6,0 e 9,5 - Conforme portaria nº 2.914, de 12 de dezembro de 2011, do Ministério da Saúde, que dispõe sobre o padrão de potabilidade das águas, recomenda que o pH (potencial hidrogeniônico) da água própria para consumo seja mantido na faixa de 6,0 a 9,5.</t>
  </si>
  <si>
    <t>Água Mineral garrafa (500 ml) com PH 6,0 e 9,5 - Conforme portaria nº 2.914, de 12 de dezembro de 2011, do Ministério da Saúde, que dispõe sobre o padrão de potabilidade das águas, recomenda que o pH (potencial hidrogeniônico) da água própria para consumo seja mantido na faixa de 6,0 a 9,5.</t>
  </si>
  <si>
    <t>Água Sanitária a base de hipoclorito de sódio e água, com teor de cloro ativo entre 2,0-2,5%, envasada em frascos plásticos com 1 (um) litro</t>
  </si>
  <si>
    <t>Surya Dental - 15/05/25</t>
  </si>
  <si>
    <t>Kalunga - 15/05/25</t>
  </si>
  <si>
    <t>Álcool etílico hidratado para limpeza geral com teor alcoólico de 92,8° INPM (96,0° GL), envasado em frascos com 1 (um) litro.</t>
  </si>
  <si>
    <t>Detergente biodegradável neutro para lavagem de louças em geral, com 500ml.</t>
  </si>
  <si>
    <t>Mercado livre - 13/05/25</t>
  </si>
  <si>
    <t>Extra Máquinas - 15/05/25</t>
  </si>
  <si>
    <t>Copec - 15/05/25</t>
  </si>
  <si>
    <t>Coador de pano p/ cafeteira industrial compatível com as máquinas (1ª Qualidade).</t>
  </si>
  <si>
    <t>Kalunga - 13/05/25</t>
  </si>
  <si>
    <t>Bello Festas - 15/05/25</t>
  </si>
  <si>
    <t>Atacadão da Baixada - 15/05/25</t>
  </si>
  <si>
    <t>Copo descartável biodegradável, reciclável, capacidade 200ml, em polipropileno “PP”, não tóxico, com frisos e saliência na borda. Caixa com 2500 unidades (25 pacotes contendo 100 unidades). Compatível com norma NBR 14.865/2002.</t>
  </si>
  <si>
    <t>Magazine Luiza - 16/05/25</t>
  </si>
  <si>
    <t>Casas Bahia - 16/05/25</t>
  </si>
  <si>
    <t>Americanas - 16/05/25</t>
  </si>
  <si>
    <t>Escova para lavar garrafas</t>
  </si>
  <si>
    <t>JJ Soluções - 16/05/25</t>
  </si>
  <si>
    <t>Nova Limp - 16/05/25</t>
  </si>
  <si>
    <t>Esponja de espuma, tipo multiuso, dupla face com um lado macio e outro em fibra abrasivo</t>
  </si>
  <si>
    <t>Tenda Atacado - 16/05/25</t>
  </si>
  <si>
    <t>Wide Stock - 16/05/25</t>
  </si>
  <si>
    <t>Esponja de lã de aço, composição aço carbono, unidade com 60 g embalada em pacote com 8 (oito) unidades</t>
  </si>
  <si>
    <t>Loja Limppano - 13/05/25</t>
  </si>
  <si>
    <t>Leroy Merlin - 16/05/25</t>
  </si>
  <si>
    <t>Recopel - 16/05/25</t>
  </si>
  <si>
    <t>Flanela em algodão, dimensões aproximadas 30x50 cm, com bordas overlocadas.</t>
  </si>
  <si>
    <t>Limpador (Tipo Multiuso) - vasilhame 500 ml</t>
  </si>
  <si>
    <t>Koch - 16/05/25</t>
  </si>
  <si>
    <t>Limpador desengordurante perfumado - vasilhame com 500 ml</t>
  </si>
  <si>
    <t>FCW Distribuidora - 16/05/25</t>
  </si>
  <si>
    <t>Luva de borracha latex (P, M)</t>
  </si>
  <si>
    <t>C&amp;S Contruções - 13/05/25</t>
  </si>
  <si>
    <t>Casa do Rodie - 16/05/25</t>
  </si>
  <si>
    <t>Pano de chão, tipo saco, alvejado, duplo, com barrado feito, 100% algodão etiqueta</t>
  </si>
  <si>
    <t>Starhouse Mega - 13/05/25</t>
  </si>
  <si>
    <t>Maravilhas do Lar - 13/05/25</t>
  </si>
  <si>
    <t>Pano de pia tipo multiuso.</t>
  </si>
  <si>
    <t>A Sacaria - 13/05/25</t>
  </si>
  <si>
    <t>Feirão de toalhas - 13/05/25</t>
  </si>
  <si>
    <t>Tecidos na internet - 13/05/25</t>
  </si>
  <si>
    <t>Pano de prato 100% algodão.</t>
  </si>
  <si>
    <t>Utilidades clínicas - 13/05/25</t>
  </si>
  <si>
    <t>Amazon.com.br - 14/05/25</t>
  </si>
  <si>
    <t>Casa do Saco - 14/05/25</t>
  </si>
  <si>
    <t>Papel Toalha branco 02 dobras, folhas de 22,5 x 26, pacote com 1000 unidades cada</t>
  </si>
  <si>
    <t>Dom Plastic - 13/05/25</t>
  </si>
  <si>
    <t>Lojas Queiroz - 13/05/25</t>
  </si>
  <si>
    <t>Silvano Festas - 13/05/25</t>
  </si>
  <si>
    <t>Guardanapo de papel com dimensões mínimas de 20 x 20cm, folha simples, pacote com 100 unidades</t>
  </si>
  <si>
    <t>Ou.com.br - 13/05/25</t>
  </si>
  <si>
    <t>Amazon.com .br - 13/05/25</t>
  </si>
  <si>
    <t>Mix Utilidades - 13/05/25</t>
  </si>
  <si>
    <t>Porta sabão e esponja, em plástico polipropileno. (trocar a cada 3 meses)</t>
  </si>
  <si>
    <t>Norton Distribuídora - 13/05/25</t>
  </si>
  <si>
    <t>Extrabom - 13/05/25</t>
  </si>
  <si>
    <t>Sabão em barra com 200 gramas, tipo glicerinado, embalado em pacote com 5 (cinco) unidades. Tipo Ypê ou similar</t>
  </si>
  <si>
    <t>Americanas - 13/05/25</t>
  </si>
  <si>
    <t>Super José - 13/05/25</t>
  </si>
  <si>
    <t>Higiclear - 13/05/25</t>
  </si>
  <si>
    <t>Sabão em pó 1 ª qualidade acondicionado em embalagem de 1 Kg</t>
  </si>
  <si>
    <t>Leroy</t>
  </si>
  <si>
    <t>Extra - 13/05/25</t>
  </si>
  <si>
    <t>Açucareiro em inox, com colher, capacidade de 300g.</t>
  </si>
  <si>
    <t>Tramontina - 13/05/25</t>
  </si>
  <si>
    <t>Porta Guardanapo em aço inox para guardanapo de 33x33</t>
  </si>
  <si>
    <t>Multibar</t>
  </si>
  <si>
    <t>Platinox</t>
  </si>
  <si>
    <t>Amazon.com.br - 26/05/25</t>
  </si>
  <si>
    <t>Apoio para copo, em aço.</t>
  </si>
  <si>
    <t>Mundo do Inox - 14/05/25</t>
  </si>
  <si>
    <t>Milium - 14/05/25</t>
  </si>
  <si>
    <t>Indústria Balca - 14/05/25</t>
  </si>
  <si>
    <t>Bule p/café em aço inox -1 litro</t>
  </si>
  <si>
    <t>Magazine Luiza - 14/05/25</t>
  </si>
  <si>
    <t>Lojas Koerich - 14/05/25</t>
  </si>
  <si>
    <t>Bule p/café em aço inox - 500 ml</t>
  </si>
  <si>
    <t>Riachuelo Home - 16/05/25</t>
  </si>
  <si>
    <t>Grupo Rojemac - 16/05/25</t>
  </si>
  <si>
    <t>Westwing - 16/05/25</t>
  </si>
  <si>
    <t>Leiteira em alumínio - cabo madeira - 2 litros</t>
  </si>
  <si>
    <t>Tecnogrill - 14/05/25</t>
  </si>
  <si>
    <t>Frigopro.com.br - 14/05/25</t>
  </si>
  <si>
    <t>Bandeja em aço inox, redonda, medindo 45 cm de diâmetro.</t>
  </si>
  <si>
    <t>Leroy Merlin - 14/05/25</t>
  </si>
  <si>
    <t>Brinox</t>
  </si>
  <si>
    <t>Bandeja em aço inox, retangular</t>
  </si>
  <si>
    <t>Copalimpa - 15/05/25</t>
  </si>
  <si>
    <t>Rizzo Embalagens - 15/05/25</t>
  </si>
  <si>
    <t>Forro de plástico para Bandeja de 45 cm de diâmetro - troca a cada 3 meses</t>
  </si>
  <si>
    <t>Taniablulhoes</t>
  </si>
  <si>
    <t>Niazi</t>
  </si>
  <si>
    <t>LCLhome</t>
  </si>
  <si>
    <t>Forro de plástico para Bandeja retangular - troca a cada 6 meses</t>
  </si>
  <si>
    <t>Amazon.com.br - 15/05/25</t>
  </si>
  <si>
    <t>Casa da Mãe Joana - 15/05/25</t>
  </si>
  <si>
    <t>Império do Cobre - 15/05/25</t>
  </si>
  <si>
    <t>Colher de Pau - madeira</t>
  </si>
  <si>
    <t>Chef de Aço - 15/05/25</t>
  </si>
  <si>
    <t>Casas Bahia - 15/05/25</t>
  </si>
  <si>
    <t>Americanas - 15/05/25</t>
  </si>
  <si>
    <t>Colher em aço inox, para café, com aproximadamente 9 cm.</t>
  </si>
  <si>
    <t>DÚZIA</t>
  </si>
  <si>
    <t>Pra Casa Decor - 15/05/25</t>
  </si>
  <si>
    <t>Camicado - 15/05/25</t>
  </si>
  <si>
    <t>Loja Mimorada - 15/05/25</t>
  </si>
  <si>
    <t>Colher em aço inox, para chá, com aproximadamente 13 cm.</t>
  </si>
  <si>
    <t>Zaffari &amp; Bourbon - 15/05/25</t>
  </si>
  <si>
    <t>Casa e Video - 15/05/25</t>
  </si>
  <si>
    <t>Copo liso reto de vidro 400 ml, para água, transparente, cilíndrico, fundo reforçado.</t>
  </si>
  <si>
    <t>Casas Bahia</t>
  </si>
  <si>
    <t>Lojas Benis</t>
  </si>
  <si>
    <t>Hidrogasexpress</t>
  </si>
  <si>
    <t>Funil em aço inox</t>
  </si>
  <si>
    <t>Kalunga - 14/05/25</t>
  </si>
  <si>
    <t>Garrafa de Aço Inoxidável de excelente qualidade ; Conserva Quente ou Frio por pelo menos 6 horas; Fácil limpeza; Com mecanismo de bomba (pressão) para facilitar o uso vertical; Capacidade de 1,8 litros; Fundo Giratório.</t>
  </si>
  <si>
    <t>Magazine Luiza - 15/05/25</t>
  </si>
  <si>
    <t>Lojas Koerich - 15/05/25</t>
  </si>
  <si>
    <t>Garrafa de Aço Inoxidável de excelente qualidade ; Conserva Quente ou Frio por pelo menos 6 horas; Fácil limpeza; Com mecanismo de bomba (pressão) para facilitar o uso vertical; Capacidade de 1 litro; Fundo Giratório.</t>
  </si>
  <si>
    <t>MadeiraMadeira - 15/05/25</t>
  </si>
  <si>
    <t>HP Plásticos e Utilidades - 15/05/25</t>
  </si>
  <si>
    <t>Jarra 2,0 litros, em inox, c/ tampa e aparador de gelo, para água e suco.</t>
  </si>
  <si>
    <t>Americanas</t>
  </si>
  <si>
    <t>Brasil ecommerce</t>
  </si>
  <si>
    <t>Temu</t>
  </si>
  <si>
    <t>Pote em alumínio para mantimentos ( café e açúcar), com etiqueta identificadora - capacidade 5 litros</t>
  </si>
  <si>
    <t>Gimba</t>
  </si>
  <si>
    <t>Loja do Mecânico</t>
  </si>
  <si>
    <t>LojaCond Store - 15/05/25</t>
  </si>
  <si>
    <t>Lixeira Plástica com capacidade de 30 a 36 litros, resistente, com tampa acionada por pedal na cor preta (com dimensões que se adaptem ao tamanho das copas do MJSP)</t>
  </si>
  <si>
    <t>Sua Casa - 15/05/25</t>
  </si>
  <si>
    <t>BBR2 Shop - 15/05/25</t>
  </si>
  <si>
    <t>Loja Flex1 - 15/05/25</t>
  </si>
  <si>
    <t>Xícara de café c/pires – porcelana com 60 ml</t>
  </si>
  <si>
    <t>Amarinne Home - 15/05/25</t>
  </si>
  <si>
    <t>Sosil Representação - 15/05/25</t>
  </si>
  <si>
    <t>Buffalus Shop - 15/05/25</t>
  </si>
  <si>
    <t>Xícara de chá c/ pires - porcelana, de capacidade de 200 ml</t>
  </si>
  <si>
    <t>Águajá - 26/05/25</t>
  </si>
  <si>
    <t>Multlar Presentes- 26/05/25</t>
  </si>
  <si>
    <t>1001 Utilidades - 26/05/25</t>
  </si>
  <si>
    <t>Vasilhame para água mineral, capacidade 20 litros</t>
  </si>
  <si>
    <t>ANDRA - 15/05/25</t>
  </si>
  <si>
    <t>Milium - 15/05/25</t>
  </si>
  <si>
    <t>Estilete profissional 18mm cabo emborrachado com 3 (três) lâminas reservas</t>
  </si>
  <si>
    <t>Decora Tecidos</t>
  </si>
  <si>
    <t>Toalha de mesa retangular para 6 lugares em tecido preto, sem detalhes, tamanho aproximadamente 160 X 220 cm, 100% algodão com poliéster, borda embanhada (limpeza da toalha por conta da contratada)</t>
  </si>
  <si>
    <t>Leroy Merlin - 15/05/25</t>
  </si>
  <si>
    <t>Zu Hause - 15/05/25</t>
  </si>
  <si>
    <t>Porta detergente</t>
  </si>
  <si>
    <t>Tudo de Ferramentas - 15/05/25</t>
  </si>
  <si>
    <t>Rodinho para pia</t>
  </si>
  <si>
    <t>Condor - 15/05/25</t>
  </si>
  <si>
    <t>Pá para lixo de plastico com cabo longo</t>
  </si>
  <si>
    <t>Lar Completo - 15/05/25</t>
  </si>
  <si>
    <t>Balde plástico, cor preta, reforçado, capacidade 12 litros</t>
  </si>
  <si>
    <t>Casa Limpa - 15/05/25</t>
  </si>
  <si>
    <t>Nova Limp - 15/05/25</t>
  </si>
  <si>
    <t>Rodo de chão de maderia médio 60 cm</t>
  </si>
  <si>
    <t>Refrisol - 15/05/25</t>
  </si>
  <si>
    <t>Carmel Imports - 15/05/25</t>
  </si>
  <si>
    <t>Rebal Soluções - 15/05/25</t>
  </si>
  <si>
    <t>Máquina de café, industrial, novas de primeiro uso, retangular, conjugada com três torneiras, com 02 (dois) reservatórios de no mínimo 10 Litros cada, em aço inox 304, tensão 220 volts, capacidade até 20 litros, reservatório de água até 45 litros, com controle termostático de temperatura, potência máxima 4000w</t>
  </si>
  <si>
    <t>Narcel Chefs - 15/05/25</t>
  </si>
  <si>
    <t>Carrinho em aço inox de distribuição de material, bandeja (com proteção lateral que evita caimento de bebidas ou alimentos por deslizamento ou escorrimento) em chapa lisa de aço inoxidável. Material: Estrutura aço inoxidável, tipo 2 bandejas, com rodízio.</t>
  </si>
  <si>
    <t>Philco - 15/05/25</t>
  </si>
  <si>
    <t>Bebedouro de Galão com as seguintes características: Ecocompressor: com gás R134a que não agride o meio ambiente; Easy Clean (desmontável para higienização); Serpentina externa (fácil higienização); Grande vazão: copo cheio em poucos segundos; Torneira Up &amp; Down Gabinete com proteção UV; Ambientes internos e externos; Pés antiderrapantes; Água natural e gelada; Bandeja removível: para esvaziar ou higienizar; Design coluna; Nanotecnologia: inibe a proliferação de micro-organismos; Tensão Nominal (V) 220V; Frequência - Mercado Nacional (Hz) 60 Acomoda Garrafão (L) 10 e 20; Volume Interno do Aparelho (L) 2; Capacidade de Fornecimento de Água Gelada (L/h)* 1,28; Temperatura de Resfriamento* 10°C / 50°F; Vazão Mínima por Gravidade (L/h) 96 L/h; Refrigeração - Compressor Termostato Regulável Externo. Cor cromado.</t>
  </si>
  <si>
    <t>A casa dos macacos</t>
  </si>
  <si>
    <t>Resseg Distribuidora - 15/05 25</t>
  </si>
  <si>
    <t>Gadotti - 15/05/25</t>
  </si>
  <si>
    <t>Carrinho para transporte em aço com pintura eletrostática ou de alta qualidade ou em alumínio para 4 vasilhames de 20 litros de água mineral, com rodas pneumáticas 3.25-8 rolamentos de roletes eixo 1"</t>
  </si>
  <si>
    <t>Reis Lixeiras</t>
  </si>
  <si>
    <t>Wracessoriosecia</t>
  </si>
  <si>
    <t>Mult-Car - 15/05/25</t>
  </si>
  <si>
    <t>Carrinho transporte plataforma fechado em tela com tampa lateral e rodas com pneu suportável para 500 kg modelo de referência mult-car C615</t>
  </si>
  <si>
    <t>Valor anual por posto</t>
  </si>
  <si>
    <t>Valor mensal por posto</t>
  </si>
  <si>
    <t>Valor mensal por posto (valor mensal / posto)</t>
  </si>
  <si>
    <t>Unidade de medida</t>
  </si>
  <si>
    <t>SPOA/MINC (UASG 420001) PE 90007/2024</t>
  </si>
  <si>
    <t>TCU (UASG 30001) PE 900021/2025</t>
  </si>
  <si>
    <t>DNITT(UASG 393011) PE 90158/2025</t>
  </si>
  <si>
    <t>FUNASA(UASG 25500) PE 90011/2025</t>
  </si>
  <si>
    <t>GOV RONDÔNIA (UASG 925373) PE 90510/2024</t>
  </si>
  <si>
    <t>MGI (UASG 170038) PE 90001/2025</t>
  </si>
  <si>
    <t>Conjunto de uniforme (masculino/feminino), conforme especificações do Termo de Referência.</t>
  </si>
  <si>
    <t>Conjunto</t>
  </si>
  <si>
    <t>Média</t>
  </si>
  <si>
    <t>Desvio Padrão</t>
  </si>
  <si>
    <t>Contagem de exequíveis:</t>
  </si>
  <si>
    <t>Média – Desv. Padrão</t>
  </si>
  <si>
    <t>Desvio padrão (excetuando-se os inexequíveis e excessivamente elevados) :</t>
  </si>
  <si>
    <t>Média + Desv. Padrão</t>
  </si>
  <si>
    <t>Coeficiente de Variação (excetuando-se os inexequíveis e excessivamente elevados) :</t>
  </si>
  <si>
    <t>Média Exequíveis</t>
  </si>
  <si>
    <t>Critério a ser adotado:</t>
  </si>
  <si>
    <t>Mediana Exequíveis</t>
  </si>
  <si>
    <t>Resumo Copeiragem</t>
  </si>
  <si>
    <t>Total 30 meses</t>
  </si>
  <si>
    <t>Total Mensal</t>
  </si>
  <si>
    <t>vide aba 'Pesquisa Uniforme Carregador</t>
  </si>
  <si>
    <t>TRT 16a (UASG 080018) PE 90007/2025</t>
  </si>
  <si>
    <t>PESQUISA ANPD</t>
  </si>
  <si>
    <t>INSS (UASG 512074) PE 90001/2024</t>
  </si>
  <si>
    <t>JUST FED (UASG 090018) PE 90004/2025</t>
  </si>
  <si>
    <t>IFSC (UASG 158516) PE 92120/2024</t>
  </si>
  <si>
    <t>PRES. REP (UASG 110001) PE 90054/2024</t>
  </si>
  <si>
    <t>Resumo Carregador</t>
  </si>
  <si>
    <t>PROC REP (UASG 200035) PE 90004/2024</t>
  </si>
  <si>
    <t>CAPES (UASG 154003) PE 90021/2025</t>
  </si>
  <si>
    <t>TRE MS (UASG 070016) PE 90043/2025</t>
  </si>
  <si>
    <t>MP MILITAR (UASG 200008) PE 90019/2024</t>
  </si>
  <si>
    <t>Resumo Garçom</t>
  </si>
  <si>
    <t>Pesquisa realizada em maio 2025</t>
  </si>
  <si>
    <t>HM Uniformes e EPIs</t>
  </si>
  <si>
    <t>OBRAMAX</t>
  </si>
  <si>
    <t>Jamil Uniformes</t>
  </si>
  <si>
    <t>Calça em tecido resistente</t>
  </si>
  <si>
    <t>Camisa, manga curta</t>
  </si>
  <si>
    <t>CALÇADOS COPE</t>
  </si>
  <si>
    <t>SUPEREPI</t>
  </si>
  <si>
    <t>MAGALU</t>
  </si>
  <si>
    <t>Par de bota de segurança bico de aço com CA</t>
  </si>
  <si>
    <t>Par</t>
  </si>
  <si>
    <t>UNIARTE UNIFORMES</t>
  </si>
  <si>
    <t>CITEROL</t>
  </si>
  <si>
    <t>ELI UNIFROMES</t>
  </si>
  <si>
    <t>Par de meias</t>
  </si>
  <si>
    <t>LOJA DO TREKKING</t>
  </si>
  <si>
    <t>AMAZON</t>
  </si>
  <si>
    <t>Cinto Com Fivela De Engate Rapido Sem Metal Nylon Regulavel</t>
  </si>
  <si>
    <t>FERRAGENS SÃO CARLOS</t>
  </si>
  <si>
    <t>NOVA PROTECT</t>
  </si>
  <si>
    <t>MERCADO LIVRE</t>
  </si>
  <si>
    <t>Luva antiaderente</t>
  </si>
  <si>
    <t>LEROY MERLIN</t>
  </si>
  <si>
    <t>FERRAMENTAS KENNEDY</t>
  </si>
  <si>
    <t>Capa de chuva</t>
  </si>
  <si>
    <t>CS DISTRIBUIDORA</t>
  </si>
  <si>
    <t>FERIMPORT</t>
  </si>
  <si>
    <t>Cinta Ergonomica abdominal com suspensório</t>
  </si>
  <si>
    <t>TOTAL</t>
  </si>
  <si>
    <t>CUSTO MENSAL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</si>
</sst>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8" formatCode="&quot;R$&quot;\ #,##0.00;[Red]\-&quot;R$&quot;\ #,##0.00"/>
    <numFmt numFmtId="44" formatCode="_-&quot;R$&quot;\ * #,##0.00_-;\-&quot;R$&quot;\ * #,##0.00_-;_-&quot;R$&quot;\ * &quot;-&quot;??_-;_-@_-"/>
    <numFmt numFmtId="43" formatCode="_-* #,##0.00_-;\-* #,##0.00_-;_-* &quot;-&quot;??_-;_-@_-"/>
    <numFmt numFmtId="164" formatCode="[$R$-416]\ #,##0.00;[Red]\-[$R$-416]\ #,##0.00"/>
    <numFmt numFmtId="165" formatCode="_-&quot;R$&quot;* #,##0.00_-;&quot;-R$&quot;* #,##0.00_-;_-&quot;R$&quot;* \-??_-;_-@_-"/>
    <numFmt numFmtId="166" formatCode="0.0%"/>
    <numFmt numFmtId="167" formatCode="&quot;R$&quot;\ #,##0.00"/>
    <numFmt numFmtId="168" formatCode="_-[$R$-416]\ * #,##0.00_-;\-[$R$-416]\ * #,##0.00_-;_-[$R$-416]\ * &quot;-&quot;??_-;_-@_-"/>
  </numFmts>
  <fonts count="24">
    <font>
      <sz val="11"/>
      <color rgb="FF000000"/>
      <name val="Calibri"/>
      <family val="2"/>
      <charset val="1"/>
    </font>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name val="Calibri"/>
      <family val="2"/>
      <charset val="1"/>
    </font>
    <font>
      <b/>
      <sz val="11"/>
      <color rgb="FF000000"/>
      <name val="Calibri"/>
      <family val="2"/>
      <charset val="1"/>
    </font>
    <font>
      <sz val="11"/>
      <color rgb="FF000000"/>
      <name val="Calibri"/>
      <family val="2"/>
      <charset val="1"/>
    </font>
    <font>
      <b/>
      <sz val="11"/>
      <color rgb="FF000000"/>
      <name val="Calibri"/>
      <family val="2"/>
    </font>
    <font>
      <b/>
      <sz val="11"/>
      <color theme="1"/>
      <name val="Calibri"/>
      <family val="2"/>
      <scheme val="minor"/>
    </font>
    <font>
      <sz val="11"/>
      <name val="Calibri"/>
      <family val="2"/>
      <scheme val="minor"/>
    </font>
    <font>
      <sz val="10"/>
      <name val="Arial"/>
      <family val="2"/>
    </font>
    <font>
      <sz val="11"/>
      <color theme="1"/>
      <name val="Arial"/>
      <family val="2"/>
    </font>
    <font>
      <sz val="10"/>
      <color rgb="FF000000"/>
      <name val="Arial"/>
      <family val="2"/>
    </font>
    <font>
      <b/>
      <sz val="11"/>
      <name val="Calibri"/>
      <family val="2"/>
      <scheme val="minor"/>
    </font>
    <font>
      <sz val="11"/>
      <color rgb="FFFF0000"/>
      <name val="Calibri"/>
      <family val="2"/>
      <scheme val="minor"/>
    </font>
    <font>
      <sz val="11"/>
      <name val="Calibri"/>
      <scheme val="minor"/>
    </font>
    <font>
      <sz val="11"/>
      <color rgb="FFFF0000"/>
      <name val="Calibri"/>
      <family val="2"/>
      <charset val="1"/>
    </font>
    <font>
      <sz val="11"/>
      <color rgb="FF000000"/>
      <name val="Calibri"/>
      <scheme val="minor"/>
    </font>
    <font>
      <strike/>
      <sz val="11"/>
      <name val="Calibri"/>
      <family val="2"/>
      <scheme val="minor"/>
    </font>
    <font>
      <strike/>
      <sz val="11"/>
      <color rgb="FFFF0000"/>
      <name val="Calibri"/>
      <family val="2"/>
      <scheme val="minor"/>
    </font>
    <font>
      <u val="double"/>
      <sz val="11"/>
      <name val="Calibri"/>
      <family val="2"/>
      <scheme val="minor"/>
    </font>
    <font>
      <sz val="11"/>
      <color theme="1"/>
      <name val="Calibri"/>
      <family val="2"/>
      <charset val="1"/>
    </font>
    <font>
      <b/>
      <sz val="11"/>
      <color theme="1"/>
      <name val="Calibri"/>
      <family val="2"/>
      <charset val="1"/>
    </font>
  </fonts>
  <fills count="13">
    <fill>
      <patternFill patternType="none"/>
    </fill>
    <fill>
      <patternFill patternType="gray125"/>
    </fill>
    <fill>
      <patternFill patternType="solid">
        <fgColor rgb="FFEDEDED"/>
        <bgColor rgb="FFD9D9D9"/>
      </patternFill>
    </fill>
    <fill>
      <patternFill patternType="solid">
        <fgColor theme="0" tint="-4.9989318521683403E-2"/>
        <bgColor indexed="64"/>
      </patternFill>
    </fill>
    <fill>
      <patternFill patternType="solid">
        <fgColor theme="0" tint="-0.249977111117893"/>
        <bgColor indexed="64"/>
      </patternFill>
    </fill>
    <fill>
      <patternFill patternType="solid">
        <fgColor theme="2"/>
        <bgColor indexed="64"/>
      </patternFill>
    </fill>
    <fill>
      <patternFill patternType="solid">
        <fgColor theme="6" tint="0.59999389629810485"/>
        <bgColor indexed="64"/>
      </patternFill>
    </fill>
    <fill>
      <patternFill patternType="solid">
        <fgColor theme="2" tint="-9.9978637043366805E-2"/>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theme="4" tint="0.79998168889431442"/>
        <bgColor indexed="64"/>
      </patternFill>
    </fill>
  </fills>
  <borders count="3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bottom style="thin">
        <color indexed="64"/>
      </bottom>
      <diagonal/>
    </border>
    <border>
      <left style="thin">
        <color indexed="64"/>
      </left>
      <right style="thin">
        <color indexed="64"/>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auto="1"/>
      </right>
      <top style="thin">
        <color rgb="FF000000"/>
      </top>
      <bottom/>
      <diagonal/>
    </border>
    <border>
      <left style="thin">
        <color rgb="FF000000"/>
      </left>
      <right/>
      <top style="thin">
        <color auto="1"/>
      </top>
      <bottom style="thin">
        <color auto="1"/>
      </bottom>
      <diagonal/>
    </border>
    <border>
      <left style="thin">
        <color auto="1"/>
      </left>
      <right style="thin">
        <color rgb="FF000000"/>
      </right>
      <top style="thin">
        <color auto="1"/>
      </top>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diagonal/>
    </border>
    <border>
      <left style="thin">
        <color indexed="64"/>
      </left>
      <right style="medium">
        <color indexed="64"/>
      </right>
      <top style="thin">
        <color indexed="64"/>
      </top>
      <bottom/>
      <diagonal/>
    </border>
    <border>
      <left style="thin">
        <color auto="1"/>
      </left>
      <right style="thin">
        <color rgb="FF000000"/>
      </right>
      <top/>
      <bottom/>
      <diagonal/>
    </border>
    <border>
      <left style="thin">
        <color auto="1"/>
      </left>
      <right/>
      <top style="thin">
        <color auto="1"/>
      </top>
      <bottom style="thin">
        <color rgb="FF000000"/>
      </bottom>
      <diagonal/>
    </border>
    <border>
      <left/>
      <right style="thin">
        <color auto="1"/>
      </right>
      <top style="thin">
        <color auto="1"/>
      </top>
      <bottom style="thin">
        <color rgb="FF000000"/>
      </bottom>
      <diagonal/>
    </border>
    <border>
      <left style="thin">
        <color indexed="64"/>
      </left>
      <right/>
      <top/>
      <bottom style="thin">
        <color indexed="64"/>
      </bottom>
      <diagonal/>
    </border>
    <border>
      <left/>
      <right style="thin">
        <color auto="1"/>
      </right>
      <top/>
      <bottom style="thin">
        <color auto="1"/>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style="thin">
        <color auto="1"/>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20">
    <xf numFmtId="0" fontId="0" fillId="0" borderId="0"/>
    <xf numFmtId="165" fontId="7" fillId="0" borderId="0" applyBorder="0" applyProtection="0"/>
    <xf numFmtId="9" fontId="7" fillId="0" borderId="0" applyBorder="0" applyProtection="0"/>
    <xf numFmtId="0" fontId="7" fillId="2" borderId="0" applyBorder="0" applyProtection="0"/>
    <xf numFmtId="0" fontId="4"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11" fillId="0" borderId="0"/>
    <xf numFmtId="44" fontId="11" fillId="0" borderId="0" applyFont="0" applyFill="0" applyBorder="0" applyAlignment="0" applyProtection="0"/>
    <xf numFmtId="9" fontId="11" fillId="0" borderId="0" applyFont="0" applyFill="0" applyBorder="0" applyAlignment="0" applyProtection="0"/>
    <xf numFmtId="0" fontId="11" fillId="0" borderId="0"/>
    <xf numFmtId="0" fontId="11" fillId="0" borderId="0"/>
    <xf numFmtId="44" fontId="11" fillId="0" borderId="0" applyFont="0" applyFill="0" applyBorder="0" applyAlignment="0" applyProtection="0"/>
    <xf numFmtId="44" fontId="11" fillId="0" borderId="0" applyFont="0" applyFill="0" applyBorder="0" applyAlignment="0" applyProtection="0"/>
    <xf numFmtId="44" fontId="12" fillId="0" borderId="0" applyFont="0" applyFill="0" applyBorder="0" applyAlignment="0" applyProtection="0"/>
    <xf numFmtId="0" fontId="13" fillId="0" borderId="0" applyNumberFormat="0" applyFont="0" applyBorder="0" applyProtection="0"/>
    <xf numFmtId="9" fontId="11" fillId="0" borderId="0" applyFont="0" applyFill="0" applyBorder="0" applyAlignment="0" applyProtection="0"/>
    <xf numFmtId="0" fontId="3" fillId="0" borderId="0"/>
  </cellStyleXfs>
  <cellXfs count="234">
    <xf numFmtId="0" fontId="0" fillId="0" borderId="0" xfId="0"/>
    <xf numFmtId="0" fontId="6" fillId="2" borderId="1" xfId="3" applyFont="1" applyBorder="1" applyAlignment="1" applyProtection="1">
      <alignment horizontal="center" vertical="center" wrapText="1"/>
    </xf>
    <xf numFmtId="9" fontId="0" fillId="0" borderId="1" xfId="2" applyFont="1" applyBorder="1" applyProtection="1"/>
    <xf numFmtId="165" fontId="0" fillId="0" borderId="1" xfId="1" applyFont="1" applyBorder="1" applyProtection="1"/>
    <xf numFmtId="165" fontId="6" fillId="0" borderId="1" xfId="1" applyFont="1" applyBorder="1" applyProtection="1"/>
    <xf numFmtId="10" fontId="0" fillId="0" borderId="1" xfId="2" applyNumberFormat="1" applyFont="1" applyBorder="1" applyAlignment="1" applyProtection="1">
      <alignment horizontal="center"/>
    </xf>
    <xf numFmtId="166" fontId="0" fillId="0" borderId="1" xfId="2" applyNumberFormat="1" applyFont="1" applyBorder="1" applyAlignment="1" applyProtection="1">
      <alignment horizontal="center"/>
    </xf>
    <xf numFmtId="9" fontId="0" fillId="0" borderId="1" xfId="2" applyFont="1" applyBorder="1" applyAlignment="1" applyProtection="1">
      <alignment horizontal="center"/>
    </xf>
    <xf numFmtId="164" fontId="6" fillId="0" borderId="1" xfId="1" applyNumberFormat="1" applyFont="1" applyBorder="1" applyProtection="1"/>
    <xf numFmtId="0" fontId="0" fillId="0" borderId="1" xfId="0" applyBorder="1" applyAlignment="1">
      <alignment wrapText="1"/>
    </xf>
    <xf numFmtId="166" fontId="0" fillId="0" borderId="1" xfId="2" applyNumberFormat="1" applyFont="1" applyBorder="1" applyAlignment="1" applyProtection="1">
      <alignment horizontal="center" wrapText="1"/>
    </xf>
    <xf numFmtId="165" fontId="6" fillId="0" borderId="0" xfId="1" applyFont="1" applyBorder="1" applyProtection="1"/>
    <xf numFmtId="0" fontId="0" fillId="0" borderId="0" xfId="0" applyAlignment="1">
      <alignment wrapText="1"/>
    </xf>
    <xf numFmtId="0" fontId="0" fillId="0" borderId="0" xfId="0" applyAlignment="1">
      <alignment horizontal="center" wrapText="1"/>
    </xf>
    <xf numFmtId="0" fontId="0" fillId="0" borderId="0" xfId="0" applyAlignment="1">
      <alignment horizontal="center"/>
    </xf>
    <xf numFmtId="164" fontId="0" fillId="0" borderId="0" xfId="0" applyNumberFormat="1" applyAlignment="1">
      <alignment horizontal="center" vertical="center" wrapText="1"/>
    </xf>
    <xf numFmtId="164" fontId="0" fillId="0" borderId="0" xfId="0" applyNumberFormat="1" applyAlignment="1">
      <alignment horizontal="center" vertical="center"/>
    </xf>
    <xf numFmtId="0" fontId="0" fillId="0" borderId="1" xfId="0" applyBorder="1" applyAlignment="1">
      <alignment horizontal="center" vertical="center" wrapText="1"/>
    </xf>
    <xf numFmtId="164" fontId="0" fillId="0" borderId="1" xfId="0" applyNumberFormat="1" applyBorder="1" applyAlignment="1">
      <alignment wrapText="1"/>
    </xf>
    <xf numFmtId="164" fontId="6" fillId="0" borderId="1" xfId="0" applyNumberFormat="1" applyFont="1" applyBorder="1" applyAlignment="1">
      <alignment wrapText="1"/>
    </xf>
    <xf numFmtId="0" fontId="0" fillId="0" borderId="1" xfId="0" applyBorder="1" applyAlignment="1">
      <alignment horizontal="center" wrapText="1"/>
    </xf>
    <xf numFmtId="0" fontId="0" fillId="0" borderId="1" xfId="0" applyBorder="1" applyAlignment="1">
      <alignment vertical="center" wrapText="1"/>
    </xf>
    <xf numFmtId="0" fontId="0" fillId="0" borderId="1" xfId="0" applyBorder="1"/>
    <xf numFmtId="165" fontId="0" fillId="0" borderId="1" xfId="0" applyNumberFormat="1" applyBorder="1" applyAlignment="1">
      <alignment horizontal="center"/>
    </xf>
    <xf numFmtId="0" fontId="0" fillId="0" borderId="1" xfId="0" applyBorder="1" applyAlignment="1">
      <alignment horizontal="center"/>
    </xf>
    <xf numFmtId="10" fontId="0" fillId="0" borderId="1" xfId="0" applyNumberFormat="1" applyBorder="1" applyAlignment="1">
      <alignment horizontal="center"/>
    </xf>
    <xf numFmtId="164" fontId="0" fillId="0" borderId="1" xfId="2" applyNumberFormat="1" applyFont="1" applyBorder="1" applyAlignment="1" applyProtection="1">
      <alignment horizontal="center"/>
    </xf>
    <xf numFmtId="0" fontId="0" fillId="0" borderId="1" xfId="0" applyBorder="1" applyAlignment="1">
      <alignment horizontal="center" vertical="center"/>
    </xf>
    <xf numFmtId="0" fontId="0" fillId="0" borderId="0" xfId="0" applyAlignment="1">
      <alignment horizontal="right"/>
    </xf>
    <xf numFmtId="9" fontId="7" fillId="0" borderId="1" xfId="2" applyBorder="1" applyAlignment="1" applyProtection="1">
      <alignment horizontal="center"/>
    </xf>
    <xf numFmtId="165" fontId="6" fillId="0" borderId="1" xfId="0" applyNumberFormat="1" applyFont="1" applyBorder="1" applyAlignment="1">
      <alignment horizontal="center"/>
    </xf>
    <xf numFmtId="0" fontId="0" fillId="0" borderId="1" xfId="0" applyBorder="1" applyAlignment="1">
      <alignment horizontal="left"/>
    </xf>
    <xf numFmtId="166" fontId="0" fillId="0" borderId="1" xfId="0" applyNumberFormat="1" applyBorder="1" applyAlignment="1">
      <alignment horizontal="center"/>
    </xf>
    <xf numFmtId="9" fontId="7" fillId="0" borderId="0" xfId="2" applyProtection="1"/>
    <xf numFmtId="0" fontId="5" fillId="0" borderId="1" xfId="0" applyFont="1" applyBorder="1" applyAlignment="1">
      <alignment wrapText="1"/>
    </xf>
    <xf numFmtId="164" fontId="0" fillId="0" borderId="1" xfId="0" applyNumberFormat="1" applyBorder="1" applyAlignment="1">
      <alignment horizontal="center" wrapText="1"/>
    </xf>
    <xf numFmtId="164" fontId="6" fillId="0" borderId="1" xfId="0" applyNumberFormat="1" applyFont="1" applyBorder="1" applyAlignment="1">
      <alignment horizontal="center" wrapText="1"/>
    </xf>
    <xf numFmtId="9" fontId="7" fillId="0" borderId="0" xfId="2" applyAlignment="1">
      <alignment horizontal="center"/>
    </xf>
    <xf numFmtId="2" fontId="0" fillId="0" borderId="0" xfId="0" applyNumberFormat="1" applyAlignment="1">
      <alignment horizontal="center" wrapText="1"/>
    </xf>
    <xf numFmtId="2" fontId="7" fillId="0" borderId="0" xfId="2" applyNumberFormat="1" applyAlignment="1">
      <alignment horizontal="center"/>
    </xf>
    <xf numFmtId="44" fontId="0" fillId="0" borderId="0" xfId="0" applyNumberFormat="1"/>
    <xf numFmtId="9" fontId="0" fillId="0" borderId="0" xfId="2" applyFont="1" applyBorder="1" applyProtection="1"/>
    <xf numFmtId="165" fontId="0" fillId="0" borderId="0" xfId="1" applyFont="1" applyBorder="1" applyProtection="1"/>
    <xf numFmtId="0" fontId="10" fillId="0" borderId="0" xfId="0" applyFont="1"/>
    <xf numFmtId="0" fontId="14" fillId="7" borderId="1" xfId="0" applyFont="1" applyFill="1" applyBorder="1" applyAlignment="1">
      <alignment horizontal="center" vertical="center"/>
    </xf>
    <xf numFmtId="0" fontId="14" fillId="8" borderId="1" xfId="0" applyFont="1" applyFill="1" applyBorder="1" applyAlignment="1">
      <alignment horizontal="center" vertical="center"/>
    </xf>
    <xf numFmtId="0" fontId="14" fillId="7" borderId="1" xfId="0" applyFont="1" applyFill="1" applyBorder="1" applyAlignment="1">
      <alignment horizontal="center" vertical="center" wrapText="1"/>
    </xf>
    <xf numFmtId="0" fontId="14" fillId="3" borderId="1" xfId="0" applyFont="1" applyFill="1" applyBorder="1" applyAlignment="1">
      <alignment horizontal="center" vertical="center"/>
    </xf>
    <xf numFmtId="0" fontId="14" fillId="3" borderId="1" xfId="0" applyFont="1" applyFill="1" applyBorder="1" applyAlignment="1">
      <alignment horizontal="center" vertical="center" wrapText="1"/>
    </xf>
    <xf numFmtId="8" fontId="10" fillId="7" borderId="1" xfId="0" applyNumberFormat="1" applyFont="1" applyFill="1" applyBorder="1" applyAlignment="1">
      <alignment horizontal="center" vertical="center"/>
    </xf>
    <xf numFmtId="8" fontId="10" fillId="8" borderId="1" xfId="0" applyNumberFormat="1" applyFont="1" applyFill="1" applyBorder="1" applyAlignment="1">
      <alignment horizontal="center" vertical="center"/>
    </xf>
    <xf numFmtId="8" fontId="10" fillId="0" borderId="6" xfId="0" applyNumberFormat="1" applyFont="1" applyBorder="1" applyAlignment="1">
      <alignment horizontal="center" vertical="center"/>
    </xf>
    <xf numFmtId="167" fontId="10" fillId="0" borderId="2" xfId="0" applyNumberFormat="1" applyFont="1" applyBorder="1" applyAlignment="1">
      <alignment horizontal="center" vertical="center"/>
    </xf>
    <xf numFmtId="0" fontId="14" fillId="0" borderId="1" xfId="0" applyFont="1" applyBorder="1" applyAlignment="1">
      <alignment horizontal="center" vertical="center"/>
    </xf>
    <xf numFmtId="167" fontId="10" fillId="0" borderId="1" xfId="0" applyNumberFormat="1" applyFont="1" applyBorder="1" applyAlignment="1">
      <alignment horizontal="center" vertical="center"/>
    </xf>
    <xf numFmtId="0" fontId="10" fillId="0" borderId="0" xfId="0" applyFont="1" applyAlignment="1">
      <alignment horizontal="center" vertical="center" wrapText="1"/>
    </xf>
    <xf numFmtId="0" fontId="0" fillId="0" borderId="0" xfId="0" applyAlignment="1">
      <alignment horizontal="center" vertical="center" wrapText="1"/>
    </xf>
    <xf numFmtId="8" fontId="0" fillId="0" borderId="1" xfId="0" applyNumberFormat="1" applyBorder="1" applyAlignment="1">
      <alignment horizontal="center"/>
    </xf>
    <xf numFmtId="8" fontId="0" fillId="0" borderId="1" xfId="0" applyNumberFormat="1" applyBorder="1" applyAlignment="1">
      <alignment horizontal="center" vertical="center"/>
    </xf>
    <xf numFmtId="167" fontId="0" fillId="0" borderId="1" xfId="0" applyNumberFormat="1" applyBorder="1" applyAlignment="1">
      <alignment horizontal="center" vertical="center"/>
    </xf>
    <xf numFmtId="0" fontId="8" fillId="9" borderId="1" xfId="0" applyFont="1" applyFill="1" applyBorder="1" applyAlignment="1">
      <alignment horizontal="center" vertical="center"/>
    </xf>
    <xf numFmtId="0" fontId="8" fillId="9" borderId="1" xfId="0" applyFont="1" applyFill="1" applyBorder="1" applyAlignment="1">
      <alignment horizontal="center" vertical="center" wrapText="1"/>
    </xf>
    <xf numFmtId="0" fontId="14" fillId="5" borderId="10" xfId="0" applyFont="1" applyFill="1" applyBorder="1" applyAlignment="1">
      <alignment horizontal="center" vertical="center" wrapText="1"/>
    </xf>
    <xf numFmtId="0" fontId="14" fillId="5" borderId="5" xfId="0" applyFont="1" applyFill="1" applyBorder="1" applyAlignment="1">
      <alignment horizontal="center" vertical="center" wrapText="1"/>
    </xf>
    <xf numFmtId="8" fontId="10" fillId="7" borderId="3" xfId="0" applyNumberFormat="1" applyFont="1" applyFill="1" applyBorder="1" applyAlignment="1">
      <alignment horizontal="center" vertical="center"/>
    </xf>
    <xf numFmtId="0" fontId="14" fillId="8" borderId="3" xfId="0" applyFont="1" applyFill="1" applyBorder="1" applyAlignment="1">
      <alignment horizontal="center" vertical="center"/>
    </xf>
    <xf numFmtId="0" fontId="9" fillId="6" borderId="12" xfId="0" applyFont="1" applyFill="1" applyBorder="1" applyAlignment="1">
      <alignment horizontal="center" vertical="center" wrapText="1"/>
    </xf>
    <xf numFmtId="0" fontId="14" fillId="5" borderId="1" xfId="0" applyFont="1" applyFill="1" applyBorder="1" applyAlignment="1">
      <alignment horizontal="center" vertical="center"/>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8" fontId="15" fillId="8" borderId="1" xfId="0" applyNumberFormat="1" applyFont="1" applyFill="1" applyBorder="1" applyAlignment="1">
      <alignment horizontal="center" vertical="center"/>
    </xf>
    <xf numFmtId="8" fontId="15" fillId="7" borderId="1" xfId="0" applyNumberFormat="1" applyFont="1" applyFill="1" applyBorder="1" applyAlignment="1">
      <alignment horizontal="center" vertical="center"/>
    </xf>
    <xf numFmtId="167" fontId="10" fillId="0" borderId="20" xfId="0" applyNumberFormat="1" applyFont="1" applyBorder="1" applyAlignment="1">
      <alignment horizontal="center" vertical="center"/>
    </xf>
    <xf numFmtId="8" fontId="10" fillId="8" borderId="20" xfId="0" applyNumberFormat="1" applyFont="1" applyFill="1" applyBorder="1" applyAlignment="1">
      <alignment horizontal="center" vertical="center"/>
    </xf>
    <xf numFmtId="8" fontId="10" fillId="7" borderId="20" xfId="0" applyNumberFormat="1" applyFont="1" applyFill="1" applyBorder="1" applyAlignment="1">
      <alignment horizontal="center" vertical="center"/>
    </xf>
    <xf numFmtId="8" fontId="10" fillId="7" borderId="22" xfId="0" applyNumberFormat="1" applyFont="1" applyFill="1" applyBorder="1" applyAlignment="1">
      <alignment horizontal="center" vertical="center"/>
    </xf>
    <xf numFmtId="167" fontId="10" fillId="0" borderId="19" xfId="0" applyNumberFormat="1" applyFont="1" applyBorder="1" applyAlignment="1">
      <alignment horizontal="center" vertical="center"/>
    </xf>
    <xf numFmtId="0" fontId="2" fillId="6" borderId="12" xfId="0" applyFont="1" applyFill="1" applyBorder="1" applyAlignment="1">
      <alignment horizontal="center" vertical="center"/>
    </xf>
    <xf numFmtId="8" fontId="2" fillId="6" borderId="12" xfId="0" applyNumberFormat="1" applyFont="1" applyFill="1" applyBorder="1" applyAlignment="1">
      <alignment horizontal="center" vertical="center"/>
    </xf>
    <xf numFmtId="0" fontId="2" fillId="6" borderId="23" xfId="0" applyFont="1" applyFill="1" applyBorder="1" applyAlignment="1">
      <alignment horizontal="center" vertical="center"/>
    </xf>
    <xf numFmtId="8" fontId="2" fillId="0" borderId="3" xfId="0" applyNumberFormat="1" applyFont="1" applyBorder="1" applyAlignment="1">
      <alignment horizontal="center" vertical="center"/>
    </xf>
    <xf numFmtId="8" fontId="2" fillId="6" borderId="23" xfId="0" applyNumberFormat="1" applyFont="1" applyFill="1" applyBorder="1" applyAlignment="1">
      <alignment horizontal="center" vertical="center"/>
    </xf>
    <xf numFmtId="168" fontId="0" fillId="11" borderId="0" xfId="0" applyNumberFormat="1" applyFill="1" applyAlignment="1">
      <alignment wrapText="1"/>
    </xf>
    <xf numFmtId="0" fontId="0" fillId="11" borderId="0" xfId="0" applyFill="1" applyAlignment="1">
      <alignment wrapText="1"/>
    </xf>
    <xf numFmtId="43" fontId="0" fillId="11" borderId="0" xfId="0" applyNumberFormat="1" applyFill="1" applyAlignment="1">
      <alignment wrapText="1"/>
    </xf>
    <xf numFmtId="0" fontId="6" fillId="2" borderId="2" xfId="3" applyFont="1" applyBorder="1" applyAlignment="1" applyProtection="1">
      <alignment horizontal="center" vertical="center" wrapText="1"/>
    </xf>
    <xf numFmtId="0" fontId="6" fillId="2" borderId="3" xfId="3" applyFont="1" applyBorder="1" applyAlignment="1" applyProtection="1">
      <alignment horizontal="center" vertical="center" wrapText="1"/>
    </xf>
    <xf numFmtId="0" fontId="6" fillId="2" borderId="14" xfId="3" applyFont="1" applyBorder="1" applyAlignment="1" applyProtection="1">
      <alignment horizontal="center" vertical="center" wrapText="1"/>
    </xf>
    <xf numFmtId="8" fontId="16" fillId="7" borderId="3" xfId="0" applyNumberFormat="1" applyFont="1" applyFill="1" applyBorder="1" applyAlignment="1">
      <alignment horizontal="center" vertical="center"/>
    </xf>
    <xf numFmtId="8" fontId="18" fillId="7" borderId="2" xfId="0" applyNumberFormat="1" applyFont="1" applyFill="1" applyBorder="1" applyAlignment="1">
      <alignment horizontal="center" vertical="center"/>
    </xf>
    <xf numFmtId="8" fontId="18" fillId="7" borderId="1" xfId="0" applyNumberFormat="1" applyFont="1" applyFill="1" applyBorder="1" applyAlignment="1">
      <alignment horizontal="center" vertical="center"/>
    </xf>
    <xf numFmtId="8" fontId="16" fillId="8" borderId="14" xfId="0" applyNumberFormat="1" applyFont="1" applyFill="1" applyBorder="1" applyAlignment="1">
      <alignment horizontal="center" vertical="center" wrapText="1"/>
    </xf>
    <xf numFmtId="8" fontId="18" fillId="8" borderId="1" xfId="0" applyNumberFormat="1" applyFont="1" applyFill="1" applyBorder="1" applyAlignment="1">
      <alignment horizontal="center" vertical="center"/>
    </xf>
    <xf numFmtId="0" fontId="6" fillId="2" borderId="1" xfId="3" applyFont="1" applyBorder="1" applyAlignment="1">
      <alignment horizontal="center" vertical="center" wrapText="1"/>
    </xf>
    <xf numFmtId="0" fontId="17" fillId="0" borderId="0" xfId="0" applyFont="1" applyAlignment="1">
      <alignment wrapText="1"/>
    </xf>
    <xf numFmtId="8" fontId="10" fillId="7" borderId="4" xfId="0" applyNumberFormat="1" applyFont="1" applyFill="1" applyBorder="1" applyAlignment="1">
      <alignment horizontal="center" vertical="center"/>
    </xf>
    <xf numFmtId="0" fontId="6" fillId="12" borderId="14" xfId="0" applyFont="1" applyFill="1" applyBorder="1" applyAlignment="1">
      <alignment horizontal="center"/>
    </xf>
    <xf numFmtId="0" fontId="14" fillId="0" borderId="2" xfId="0" applyFont="1" applyBorder="1" applyAlignment="1">
      <alignment horizontal="center" vertical="center"/>
    </xf>
    <xf numFmtId="0" fontId="0" fillId="0" borderId="29" xfId="0" applyBorder="1" applyAlignment="1">
      <alignment horizontal="center" vertical="center" wrapText="1"/>
    </xf>
    <xf numFmtId="8" fontId="0" fillId="12" borderId="14" xfId="0" applyNumberFormat="1" applyFill="1" applyBorder="1" applyAlignment="1">
      <alignment horizontal="center" vertical="center"/>
    </xf>
    <xf numFmtId="0" fontId="0" fillId="0" borderId="30" xfId="0" applyBorder="1" applyAlignment="1">
      <alignment horizontal="center" vertical="center" wrapText="1"/>
    </xf>
    <xf numFmtId="8" fontId="10" fillId="7" borderId="31" xfId="0" applyNumberFormat="1" applyFont="1" applyFill="1" applyBorder="1" applyAlignment="1">
      <alignment horizontal="center" vertical="center"/>
    </xf>
    <xf numFmtId="8" fontId="0" fillId="12" borderId="15" xfId="0" applyNumberFormat="1" applyFill="1" applyBorder="1" applyAlignment="1">
      <alignment horizontal="center" vertical="center"/>
    </xf>
    <xf numFmtId="0" fontId="6" fillId="7" borderId="14" xfId="0" applyFont="1" applyFill="1" applyBorder="1"/>
    <xf numFmtId="8" fontId="6" fillId="7" borderId="14" xfId="0" applyNumberFormat="1" applyFont="1" applyFill="1" applyBorder="1"/>
    <xf numFmtId="164" fontId="0" fillId="0" borderId="0" xfId="0" applyNumberFormat="1" applyAlignment="1">
      <alignment wrapText="1"/>
    </xf>
    <xf numFmtId="0" fontId="0" fillId="11" borderId="14" xfId="0" applyFill="1" applyBorder="1" applyAlignment="1">
      <alignment horizontal="center" vertical="center" wrapText="1"/>
    </xf>
    <xf numFmtId="0" fontId="6" fillId="2" borderId="3" xfId="3" applyFont="1" applyBorder="1" applyAlignment="1">
      <alignment horizontal="center" vertical="center" wrapText="1"/>
    </xf>
    <xf numFmtId="8" fontId="6" fillId="0" borderId="1" xfId="0" applyNumberFormat="1" applyFont="1" applyBorder="1"/>
    <xf numFmtId="167" fontId="0" fillId="0" borderId="0" xfId="0" applyNumberFormat="1"/>
    <xf numFmtId="164" fontId="0" fillId="11" borderId="1" xfId="0" applyNumberFormat="1" applyFill="1" applyBorder="1" applyAlignment="1">
      <alignment horizontal="center" vertical="center" wrapText="1"/>
    </xf>
    <xf numFmtId="164" fontId="0" fillId="11" borderId="6" xfId="0" applyNumberFormat="1" applyFill="1" applyBorder="1" applyAlignment="1">
      <alignment horizontal="center" vertical="center" wrapText="1"/>
    </xf>
    <xf numFmtId="0" fontId="6" fillId="2" borderId="6" xfId="3" applyFont="1" applyBorder="1" applyAlignment="1" applyProtection="1">
      <alignment horizontal="center" vertical="center" wrapText="1"/>
    </xf>
    <xf numFmtId="0" fontId="6" fillId="2" borderId="27" xfId="3" applyFont="1" applyBorder="1" applyAlignment="1" applyProtection="1">
      <alignment horizontal="center" vertical="center" wrapText="1"/>
    </xf>
    <xf numFmtId="167" fontId="23" fillId="0" borderId="1" xfId="0" applyNumberFormat="1" applyFont="1" applyBorder="1" applyAlignment="1">
      <alignment horizontal="center" vertical="center"/>
    </xf>
    <xf numFmtId="165" fontId="0" fillId="11" borderId="1" xfId="0" applyNumberFormat="1" applyFill="1" applyBorder="1" applyAlignment="1">
      <alignment horizontal="center"/>
    </xf>
    <xf numFmtId="8" fontId="2" fillId="7" borderId="3" xfId="0" applyNumberFormat="1" applyFont="1" applyFill="1" applyBorder="1" applyAlignment="1">
      <alignment horizontal="center" vertical="center"/>
    </xf>
    <xf numFmtId="8" fontId="2" fillId="7" borderId="1" xfId="0" applyNumberFormat="1" applyFont="1" applyFill="1" applyBorder="1" applyAlignment="1">
      <alignment horizontal="center" vertical="center"/>
    </xf>
    <xf numFmtId="8" fontId="2" fillId="8" borderId="1" xfId="0" applyNumberFormat="1" applyFont="1" applyFill="1" applyBorder="1" applyAlignment="1">
      <alignment horizontal="center" vertical="center"/>
    </xf>
    <xf numFmtId="8" fontId="2" fillId="7" borderId="20" xfId="0" applyNumberFormat="1" applyFont="1" applyFill="1" applyBorder="1" applyAlignment="1">
      <alignment horizontal="center" vertical="center"/>
    </xf>
    <xf numFmtId="8" fontId="2" fillId="8" borderId="20" xfId="0" applyNumberFormat="1" applyFont="1" applyFill="1" applyBorder="1" applyAlignment="1">
      <alignment horizontal="center" vertical="center"/>
    </xf>
    <xf numFmtId="0" fontId="8" fillId="9" borderId="1" xfId="0" applyFont="1" applyFill="1" applyBorder="1" applyAlignment="1">
      <alignment horizontal="center"/>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6" xfId="0" applyBorder="1" applyAlignment="1">
      <alignment horizontal="center" vertical="center"/>
    </xf>
    <xf numFmtId="0" fontId="0" fillId="0" borderId="2" xfId="2" applyNumberFormat="1" applyFont="1" applyBorder="1" applyAlignment="1" applyProtection="1">
      <alignment horizontal="center"/>
    </xf>
    <xf numFmtId="0" fontId="0" fillId="0" borderId="3" xfId="2" applyNumberFormat="1" applyFont="1" applyBorder="1" applyAlignment="1" applyProtection="1">
      <alignment horizontal="center"/>
    </xf>
    <xf numFmtId="0" fontId="0" fillId="0" borderId="2" xfId="0" applyBorder="1" applyAlignment="1">
      <alignment horizontal="center"/>
    </xf>
    <xf numFmtId="0" fontId="0" fillId="0" borderId="3" xfId="0" applyBorder="1" applyAlignment="1">
      <alignment horizontal="center"/>
    </xf>
    <xf numFmtId="9" fontId="0" fillId="0" borderId="2" xfId="2" applyFont="1" applyBorder="1" applyAlignment="1" applyProtection="1">
      <alignment horizontal="center"/>
    </xf>
    <xf numFmtId="9" fontId="0" fillId="0" borderId="3" xfId="2" applyFont="1" applyBorder="1" applyAlignment="1" applyProtection="1">
      <alignment horizontal="center"/>
    </xf>
    <xf numFmtId="14" fontId="0" fillId="0" borderId="2" xfId="2" applyNumberFormat="1" applyFont="1" applyBorder="1" applyAlignment="1" applyProtection="1">
      <alignment horizontal="center"/>
    </xf>
    <xf numFmtId="167" fontId="0" fillId="0" borderId="2" xfId="2" applyNumberFormat="1" applyFont="1" applyBorder="1" applyAlignment="1" applyProtection="1">
      <alignment horizontal="center"/>
    </xf>
    <xf numFmtId="167" fontId="0" fillId="0" borderId="3" xfId="2" applyNumberFormat="1" applyFont="1" applyBorder="1" applyAlignment="1" applyProtection="1">
      <alignment horizontal="center"/>
    </xf>
    <xf numFmtId="0" fontId="6" fillId="2" borderId="1" xfId="3" applyFont="1" applyBorder="1" applyAlignment="1" applyProtection="1">
      <alignment horizontal="center" vertical="center" wrapText="1"/>
    </xf>
    <xf numFmtId="0" fontId="0" fillId="0" borderId="1" xfId="0" applyBorder="1" applyAlignment="1">
      <alignment horizontal="right"/>
    </xf>
    <xf numFmtId="0" fontId="6" fillId="2" borderId="1" xfId="3" applyFont="1" applyBorder="1" applyAlignment="1" applyProtection="1">
      <alignment horizontal="center" vertical="center"/>
    </xf>
    <xf numFmtId="0" fontId="0" fillId="0" borderId="1" xfId="0" applyBorder="1" applyAlignment="1">
      <alignment horizontal="center" vertical="center"/>
    </xf>
    <xf numFmtId="0" fontId="0" fillId="0" borderId="1" xfId="0" applyBorder="1" applyAlignment="1">
      <alignment horizontal="left" vertical="center"/>
    </xf>
    <xf numFmtId="0" fontId="0" fillId="0" borderId="1" xfId="0" applyBorder="1" applyAlignment="1">
      <alignment horizontal="center"/>
    </xf>
    <xf numFmtId="165" fontId="0" fillId="0" borderId="1" xfId="0" applyNumberFormat="1" applyBorder="1" applyAlignment="1">
      <alignment horizontal="center"/>
    </xf>
    <xf numFmtId="0" fontId="6" fillId="0" borderId="1" xfId="0" applyFont="1" applyBorder="1" applyAlignment="1">
      <alignment horizontal="center" vertical="center"/>
    </xf>
    <xf numFmtId="0" fontId="6" fillId="0" borderId="1" xfId="0" applyFont="1" applyBorder="1" applyAlignment="1">
      <alignment horizontal="center"/>
    </xf>
    <xf numFmtId="165" fontId="6" fillId="0" borderId="1" xfId="0" applyNumberFormat="1" applyFont="1" applyBorder="1" applyAlignment="1">
      <alignment horizontal="center"/>
    </xf>
    <xf numFmtId="0" fontId="6" fillId="2" borderId="2" xfId="3" applyFont="1" applyBorder="1" applyAlignment="1" applyProtection="1">
      <alignment horizontal="center" vertical="center"/>
    </xf>
    <xf numFmtId="0" fontId="6" fillId="2" borderId="4" xfId="3" applyFont="1" applyBorder="1" applyAlignment="1" applyProtection="1">
      <alignment horizontal="center" vertical="center"/>
    </xf>
    <xf numFmtId="0" fontId="6" fillId="2" borderId="3" xfId="3" applyFont="1" applyBorder="1" applyAlignment="1" applyProtection="1">
      <alignment horizontal="center" vertical="center"/>
    </xf>
    <xf numFmtId="165" fontId="0" fillId="0" borderId="1" xfId="0" applyNumberFormat="1" applyBorder="1" applyAlignment="1">
      <alignment horizontal="center" vertical="center"/>
    </xf>
    <xf numFmtId="0" fontId="14" fillId="4" borderId="7" xfId="0" applyFont="1" applyFill="1" applyBorder="1" applyAlignment="1">
      <alignment horizontal="center"/>
    </xf>
    <xf numFmtId="0" fontId="14" fillId="4" borderId="8" xfId="0" applyFont="1" applyFill="1" applyBorder="1" applyAlignment="1">
      <alignment horizontal="center"/>
    </xf>
    <xf numFmtId="0" fontId="14" fillId="5" borderId="9" xfId="0" applyFont="1" applyFill="1" applyBorder="1" applyAlignment="1">
      <alignment horizontal="center" vertical="center"/>
    </xf>
    <xf numFmtId="0" fontId="14" fillId="5" borderId="1" xfId="0" applyFont="1" applyFill="1" applyBorder="1" applyAlignment="1">
      <alignment horizontal="center" vertical="center"/>
    </xf>
    <xf numFmtId="0" fontId="14" fillId="5" borderId="9" xfId="0" applyFont="1" applyFill="1" applyBorder="1" applyAlignment="1">
      <alignment horizontal="center" vertical="center" wrapText="1"/>
    </xf>
    <xf numFmtId="0" fontId="14" fillId="5" borderId="1" xfId="0" applyFont="1" applyFill="1" applyBorder="1" applyAlignment="1">
      <alignment horizontal="center" vertical="center" wrapText="1"/>
    </xf>
    <xf numFmtId="0" fontId="14" fillId="5" borderId="13" xfId="0" applyFont="1" applyFill="1" applyBorder="1" applyAlignment="1">
      <alignment horizontal="center" vertical="center"/>
    </xf>
    <xf numFmtId="0" fontId="14" fillId="5" borderId="2" xfId="0" applyFont="1" applyFill="1" applyBorder="1" applyAlignment="1">
      <alignment horizontal="center" vertical="center"/>
    </xf>
    <xf numFmtId="0" fontId="14" fillId="5" borderId="10" xfId="0" applyFont="1" applyFill="1" applyBorder="1" applyAlignment="1">
      <alignment horizontal="center" vertical="center" wrapText="1"/>
    </xf>
    <xf numFmtId="0" fontId="14" fillId="5" borderId="5" xfId="0" applyFont="1" applyFill="1" applyBorder="1" applyAlignment="1">
      <alignment horizontal="center" vertical="center" wrapText="1"/>
    </xf>
    <xf numFmtId="0" fontId="9" fillId="6" borderId="11" xfId="0" applyFont="1" applyFill="1" applyBorder="1" applyAlignment="1">
      <alignment horizontal="center" vertical="center" wrapText="1"/>
    </xf>
    <xf numFmtId="0" fontId="9" fillId="6" borderId="12" xfId="0" applyFont="1" applyFill="1" applyBorder="1" applyAlignment="1">
      <alignment horizontal="center" vertical="center" wrapText="1"/>
    </xf>
    <xf numFmtId="8" fontId="2" fillId="8" borderId="2" xfId="0" applyNumberFormat="1" applyFont="1" applyFill="1" applyBorder="1" applyAlignment="1">
      <alignment horizontal="center" vertical="center"/>
    </xf>
    <xf numFmtId="8" fontId="2" fillId="8" borderId="3" xfId="0" applyNumberFormat="1" applyFont="1" applyFill="1" applyBorder="1" applyAlignment="1">
      <alignment horizontal="center" vertical="center"/>
    </xf>
    <xf numFmtId="0" fontId="14" fillId="0" borderId="18" xfId="0" applyFont="1" applyBorder="1" applyAlignment="1">
      <alignment horizontal="center" vertical="center"/>
    </xf>
    <xf numFmtId="0" fontId="14" fillId="0" borderId="24" xfId="0" applyFont="1" applyBorder="1" applyAlignment="1">
      <alignment horizontal="center" vertical="center"/>
    </xf>
    <xf numFmtId="8" fontId="2" fillId="7" borderId="2" xfId="0" applyNumberFormat="1" applyFont="1" applyFill="1" applyBorder="1" applyAlignment="1">
      <alignment horizontal="center" vertical="center"/>
    </xf>
    <xf numFmtId="8" fontId="2" fillId="7" borderId="3" xfId="0" applyNumberFormat="1" applyFont="1" applyFill="1" applyBorder="1" applyAlignment="1">
      <alignment horizontal="center" vertical="center"/>
    </xf>
    <xf numFmtId="0" fontId="14" fillId="5" borderId="4" xfId="0" applyFont="1" applyFill="1" applyBorder="1" applyAlignment="1">
      <alignment horizontal="center" vertical="center"/>
    </xf>
    <xf numFmtId="0" fontId="14" fillId="5" borderId="3" xfId="0" applyFont="1" applyFill="1" applyBorder="1" applyAlignment="1">
      <alignment horizontal="center" vertical="center"/>
    </xf>
    <xf numFmtId="0" fontId="14" fillId="7" borderId="2" xfId="0" applyFont="1" applyFill="1" applyBorder="1" applyAlignment="1">
      <alignment horizontal="center" vertical="center" wrapText="1"/>
    </xf>
    <xf numFmtId="0" fontId="14" fillId="7" borderId="4" xfId="0" applyFont="1" applyFill="1" applyBorder="1" applyAlignment="1">
      <alignment horizontal="center" vertical="center" wrapText="1"/>
    </xf>
    <xf numFmtId="0" fontId="14" fillId="3" borderId="1" xfId="0" applyFont="1" applyFill="1" applyBorder="1" applyAlignment="1">
      <alignment horizontal="center" vertical="center"/>
    </xf>
    <xf numFmtId="8" fontId="19" fillId="11" borderId="17" xfId="0" applyNumberFormat="1" applyFont="1" applyFill="1" applyBorder="1" applyAlignment="1">
      <alignment horizontal="center" vertical="center" wrapText="1"/>
    </xf>
    <xf numFmtId="8" fontId="19" fillId="11" borderId="3" xfId="0" applyNumberFormat="1" applyFont="1" applyFill="1" applyBorder="1" applyAlignment="1">
      <alignment horizontal="center" vertical="center" wrapText="1"/>
    </xf>
    <xf numFmtId="8" fontId="10" fillId="7" borderId="2" xfId="0" applyNumberFormat="1" applyFont="1" applyFill="1" applyBorder="1" applyAlignment="1">
      <alignment horizontal="center" vertical="center" wrapText="1"/>
    </xf>
    <xf numFmtId="8" fontId="10" fillId="7" borderId="3" xfId="0" applyNumberFormat="1" applyFont="1" applyFill="1" applyBorder="1" applyAlignment="1">
      <alignment horizontal="center" vertical="center" wrapText="1"/>
    </xf>
    <xf numFmtId="8" fontId="10" fillId="8" borderId="2" xfId="0" applyNumberFormat="1" applyFont="1" applyFill="1" applyBorder="1" applyAlignment="1">
      <alignment horizontal="center" vertical="center"/>
    </xf>
    <xf numFmtId="8" fontId="10" fillId="8" borderId="3" xfId="0" applyNumberFormat="1" applyFont="1" applyFill="1" applyBorder="1" applyAlignment="1">
      <alignment horizontal="center" vertical="center"/>
    </xf>
    <xf numFmtId="8" fontId="19" fillId="8" borderId="17" xfId="0" applyNumberFormat="1" applyFont="1" applyFill="1" applyBorder="1" applyAlignment="1">
      <alignment horizontal="center" vertical="center"/>
    </xf>
    <xf numFmtId="8" fontId="19" fillId="8" borderId="3" xfId="0" applyNumberFormat="1" applyFont="1" applyFill="1" applyBorder="1" applyAlignment="1">
      <alignment horizontal="center" vertical="center"/>
    </xf>
    <xf numFmtId="8" fontId="10" fillId="7" borderId="2" xfId="0" applyNumberFormat="1" applyFont="1" applyFill="1" applyBorder="1" applyAlignment="1">
      <alignment horizontal="center" vertical="center"/>
    </xf>
    <xf numFmtId="8" fontId="10" fillId="7" borderId="3" xfId="0" applyNumberFormat="1" applyFont="1" applyFill="1" applyBorder="1" applyAlignment="1">
      <alignment horizontal="center" vertical="center"/>
    </xf>
    <xf numFmtId="8" fontId="19" fillId="8" borderId="2" xfId="0" applyNumberFormat="1" applyFont="1" applyFill="1" applyBorder="1" applyAlignment="1">
      <alignment horizontal="center" vertical="center"/>
    </xf>
    <xf numFmtId="8" fontId="19" fillId="7" borderId="2" xfId="0" applyNumberFormat="1" applyFont="1" applyFill="1" applyBorder="1" applyAlignment="1">
      <alignment horizontal="center" vertical="center"/>
    </xf>
    <xf numFmtId="8" fontId="19" fillId="7" borderId="3" xfId="0" applyNumberFormat="1" applyFont="1" applyFill="1" applyBorder="1" applyAlignment="1">
      <alignment horizontal="center" vertical="center"/>
    </xf>
    <xf numFmtId="8" fontId="16" fillId="7" borderId="2" xfId="0" applyNumberFormat="1" applyFont="1" applyFill="1" applyBorder="1" applyAlignment="1">
      <alignment horizontal="center" vertical="center"/>
    </xf>
    <xf numFmtId="8" fontId="16" fillId="7" borderId="3" xfId="0" applyNumberFormat="1" applyFont="1" applyFill="1" applyBorder="1" applyAlignment="1">
      <alignment horizontal="center" vertical="center"/>
    </xf>
    <xf numFmtId="8" fontId="16" fillId="8" borderId="2" xfId="0" applyNumberFormat="1" applyFont="1" applyFill="1" applyBorder="1" applyAlignment="1">
      <alignment horizontal="center" vertical="center"/>
    </xf>
    <xf numFmtId="8" fontId="16" fillId="8" borderId="3" xfId="0" applyNumberFormat="1" applyFont="1" applyFill="1" applyBorder="1" applyAlignment="1">
      <alignment horizontal="center" vertical="center"/>
    </xf>
    <xf numFmtId="0" fontId="0" fillId="0" borderId="2" xfId="0" applyBorder="1" applyAlignment="1">
      <alignment horizontal="right"/>
    </xf>
    <xf numFmtId="0" fontId="0" fillId="0" borderId="4" xfId="0" applyBorder="1" applyAlignment="1">
      <alignment horizontal="right"/>
    </xf>
    <xf numFmtId="0" fontId="0" fillId="0" borderId="3" xfId="0" applyBorder="1" applyAlignment="1">
      <alignment horizontal="right"/>
    </xf>
    <xf numFmtId="8" fontId="19" fillId="8" borderId="17" xfId="0" applyNumberFormat="1" applyFont="1" applyFill="1" applyBorder="1" applyAlignment="1">
      <alignment horizontal="center" vertical="center" wrapText="1"/>
    </xf>
    <xf numFmtId="8" fontId="19" fillId="8" borderId="3" xfId="0" applyNumberFormat="1" applyFont="1" applyFill="1" applyBorder="1" applyAlignment="1">
      <alignment horizontal="center" vertical="center" wrapText="1"/>
    </xf>
    <xf numFmtId="8" fontId="19" fillId="7" borderId="2" xfId="0" applyNumberFormat="1" applyFont="1" applyFill="1" applyBorder="1" applyAlignment="1">
      <alignment horizontal="center" vertical="center" wrapText="1"/>
    </xf>
    <xf numFmtId="8" fontId="19" fillId="7" borderId="3" xfId="0" applyNumberFormat="1" applyFont="1" applyFill="1" applyBorder="1" applyAlignment="1">
      <alignment horizontal="center" vertical="center" wrapText="1"/>
    </xf>
    <xf numFmtId="8" fontId="19" fillId="8" borderId="2" xfId="0" applyNumberFormat="1" applyFont="1" applyFill="1" applyBorder="1" applyAlignment="1">
      <alignment horizontal="center" vertical="center" wrapText="1"/>
    </xf>
    <xf numFmtId="8" fontId="16" fillId="7" borderId="2" xfId="0" applyNumberFormat="1" applyFont="1" applyFill="1" applyBorder="1" applyAlignment="1">
      <alignment horizontal="center" vertical="center" wrapText="1"/>
    </xf>
    <xf numFmtId="8" fontId="16" fillId="7" borderId="3" xfId="0" applyNumberFormat="1" applyFont="1" applyFill="1" applyBorder="1" applyAlignment="1">
      <alignment horizontal="center" vertical="center" wrapText="1"/>
    </xf>
    <xf numFmtId="8" fontId="10" fillId="8" borderId="17" xfId="0" applyNumberFormat="1" applyFont="1" applyFill="1" applyBorder="1" applyAlignment="1">
      <alignment horizontal="center" vertical="center"/>
    </xf>
    <xf numFmtId="8" fontId="20" fillId="8" borderId="2" xfId="0" applyNumberFormat="1" applyFont="1" applyFill="1" applyBorder="1" applyAlignment="1">
      <alignment horizontal="center" vertical="center"/>
    </xf>
    <xf numFmtId="8" fontId="20" fillId="8" borderId="3" xfId="0" applyNumberFormat="1" applyFont="1" applyFill="1" applyBorder="1" applyAlignment="1">
      <alignment horizontal="center" vertical="center"/>
    </xf>
    <xf numFmtId="8" fontId="20" fillId="8" borderId="17" xfId="0" applyNumberFormat="1" applyFont="1" applyFill="1" applyBorder="1" applyAlignment="1">
      <alignment horizontal="center" vertical="center"/>
    </xf>
    <xf numFmtId="8" fontId="20" fillId="7" borderId="2" xfId="0" applyNumberFormat="1" applyFont="1" applyFill="1" applyBorder="1" applyAlignment="1">
      <alignment horizontal="center" vertical="center"/>
    </xf>
    <xf numFmtId="8" fontId="20" fillId="7" borderId="3" xfId="0" applyNumberFormat="1" applyFont="1" applyFill="1" applyBorder="1" applyAlignment="1">
      <alignment horizontal="center" vertical="center"/>
    </xf>
    <xf numFmtId="8" fontId="18" fillId="7" borderId="2" xfId="0" applyNumberFormat="1" applyFont="1" applyFill="1" applyBorder="1" applyAlignment="1">
      <alignment horizontal="center" vertical="center"/>
    </xf>
    <xf numFmtId="8" fontId="18" fillId="7" borderId="3" xfId="0" applyNumberFormat="1" applyFont="1" applyFill="1" applyBorder="1" applyAlignment="1">
      <alignment horizontal="center" vertical="center"/>
    </xf>
    <xf numFmtId="8" fontId="18" fillId="8" borderId="2" xfId="0" applyNumberFormat="1" applyFont="1" applyFill="1" applyBorder="1" applyAlignment="1">
      <alignment horizontal="center" vertical="center"/>
    </xf>
    <xf numFmtId="8" fontId="18" fillId="8" borderId="3" xfId="0" applyNumberFormat="1" applyFont="1" applyFill="1" applyBorder="1" applyAlignment="1">
      <alignment horizontal="center" vertical="center"/>
    </xf>
    <xf numFmtId="8" fontId="16" fillId="8" borderId="27" xfId="0" applyNumberFormat="1" applyFont="1" applyFill="1" applyBorder="1" applyAlignment="1">
      <alignment horizontal="center" vertical="center"/>
    </xf>
    <xf numFmtId="8" fontId="16" fillId="8" borderId="28" xfId="0" applyNumberFormat="1" applyFont="1" applyFill="1" applyBorder="1" applyAlignment="1">
      <alignment horizontal="center" vertical="center"/>
    </xf>
    <xf numFmtId="8" fontId="21" fillId="7" borderId="2" xfId="0" applyNumberFormat="1" applyFont="1" applyFill="1" applyBorder="1" applyAlignment="1">
      <alignment horizontal="center" vertical="center"/>
    </xf>
    <xf numFmtId="8" fontId="21" fillId="7" borderId="3" xfId="0" applyNumberFormat="1" applyFont="1" applyFill="1" applyBorder="1" applyAlignment="1">
      <alignment horizontal="center" vertical="center"/>
    </xf>
    <xf numFmtId="8" fontId="10" fillId="8" borderId="2" xfId="0" applyNumberFormat="1" applyFont="1" applyFill="1" applyBorder="1" applyAlignment="1">
      <alignment horizontal="center" vertical="center" wrapText="1"/>
    </xf>
    <xf numFmtId="8" fontId="10" fillId="8" borderId="3" xfId="0" applyNumberFormat="1" applyFont="1" applyFill="1" applyBorder="1" applyAlignment="1">
      <alignment horizontal="center" vertical="center" wrapText="1"/>
    </xf>
    <xf numFmtId="8" fontId="2" fillId="7" borderId="2" xfId="0" applyNumberFormat="1" applyFont="1" applyFill="1" applyBorder="1" applyAlignment="1">
      <alignment horizontal="center" vertical="center" wrapText="1"/>
    </xf>
    <xf numFmtId="8" fontId="2" fillId="7" borderId="3" xfId="0" applyNumberFormat="1" applyFont="1" applyFill="1" applyBorder="1" applyAlignment="1">
      <alignment horizontal="center" vertical="center" wrapText="1"/>
    </xf>
    <xf numFmtId="0" fontId="16" fillId="8" borderId="2" xfId="0" applyFont="1" applyFill="1" applyBorder="1" applyAlignment="1">
      <alignment horizontal="center" vertical="center"/>
    </xf>
    <xf numFmtId="0" fontId="16" fillId="8" borderId="3" xfId="0" applyFont="1" applyFill="1" applyBorder="1" applyAlignment="1">
      <alignment horizontal="center" vertical="center"/>
    </xf>
    <xf numFmtId="0" fontId="16" fillId="7" borderId="2" xfId="0" applyFont="1" applyFill="1" applyBorder="1" applyAlignment="1">
      <alignment horizontal="center" vertical="center" wrapText="1"/>
    </xf>
    <xf numFmtId="0" fontId="16" fillId="7" borderId="3" xfId="0" applyFont="1" applyFill="1" applyBorder="1" applyAlignment="1">
      <alignment horizontal="center" vertical="center" wrapText="1"/>
    </xf>
    <xf numFmtId="8" fontId="16" fillId="8" borderId="25" xfId="0" applyNumberFormat="1" applyFont="1" applyFill="1" applyBorder="1" applyAlignment="1">
      <alignment horizontal="center" vertical="center"/>
    </xf>
    <xf numFmtId="8" fontId="16" fillId="8" borderId="26" xfId="0" applyNumberFormat="1" applyFont="1" applyFill="1" applyBorder="1" applyAlignment="1">
      <alignment horizontal="center" vertical="center"/>
    </xf>
    <xf numFmtId="0" fontId="6" fillId="2" borderId="2" xfId="3" applyFont="1" applyBorder="1" applyAlignment="1" applyProtection="1">
      <alignment horizontal="center" vertical="center" wrapText="1"/>
    </xf>
    <xf numFmtId="0" fontId="6" fillId="2" borderId="3" xfId="3" applyFont="1" applyBorder="1" applyAlignment="1" applyProtection="1">
      <alignment horizontal="center" vertical="center" wrapText="1"/>
    </xf>
    <xf numFmtId="0" fontId="22" fillId="10" borderId="32" xfId="0" applyFont="1" applyFill="1" applyBorder="1" applyAlignment="1">
      <alignment horizontal="center" wrapText="1"/>
    </xf>
    <xf numFmtId="0" fontId="22" fillId="10" borderId="33" xfId="0" applyFont="1" applyFill="1" applyBorder="1" applyAlignment="1">
      <alignment horizontal="center" wrapText="1"/>
    </xf>
    <xf numFmtId="0" fontId="22" fillId="10" borderId="29" xfId="0" applyFont="1" applyFill="1" applyBorder="1" applyAlignment="1">
      <alignment horizontal="center" wrapText="1"/>
    </xf>
    <xf numFmtId="8" fontId="10" fillId="7" borderId="4" xfId="0" applyNumberFormat="1" applyFont="1" applyFill="1" applyBorder="1" applyAlignment="1">
      <alignment horizontal="center" vertical="center"/>
    </xf>
    <xf numFmtId="8" fontId="1" fillId="0" borderId="3" xfId="0" applyNumberFormat="1" applyFont="1" applyBorder="1" applyAlignment="1">
      <alignment horizontal="center" vertical="center"/>
    </xf>
    <xf numFmtId="8" fontId="1" fillId="8" borderId="2" xfId="0" applyNumberFormat="1" applyFont="1" applyFill="1" applyBorder="1" applyAlignment="1">
      <alignment horizontal="center" vertical="center"/>
    </xf>
    <xf numFmtId="8" fontId="1" fillId="8" borderId="3" xfId="0" applyNumberFormat="1" applyFont="1" applyFill="1" applyBorder="1" applyAlignment="1">
      <alignment horizontal="center" vertical="center"/>
    </xf>
    <xf numFmtId="8" fontId="1" fillId="7" borderId="2" xfId="0" applyNumberFormat="1" applyFont="1" applyFill="1" applyBorder="1" applyAlignment="1">
      <alignment horizontal="center" vertical="center"/>
    </xf>
    <xf numFmtId="8" fontId="1" fillId="7" borderId="3" xfId="0" applyNumberFormat="1" applyFont="1" applyFill="1" applyBorder="1" applyAlignment="1">
      <alignment horizontal="center" vertical="center"/>
    </xf>
  </cellXfs>
  <cellStyles count="20">
    <cellStyle name="Moeda" xfId="1" builtinId="4"/>
    <cellStyle name="Moeda 13" xfId="14" xr:uid="{11FEA2BE-2C92-4EBE-A893-D113ACE11C77}"/>
    <cellStyle name="Moeda 2" xfId="6" xr:uid="{4D015BDF-C570-43F2-A84E-E6698EE5D9F4}"/>
    <cellStyle name="Moeda 3 2 2" xfId="15" xr:uid="{DF1C1080-B4AC-42C4-AD13-99D7A8E8CC9B}"/>
    <cellStyle name="Moeda 4 2 3" xfId="16" xr:uid="{5C91EE22-20D3-448F-877A-5ABD312AB4A1}"/>
    <cellStyle name="Moeda 5 3" xfId="10" xr:uid="{9CFA6249-DD25-4972-A8D2-6D369D4DAB05}"/>
    <cellStyle name="Normal" xfId="0" builtinId="0"/>
    <cellStyle name="Normal 13" xfId="13" xr:uid="{B1994087-6C4D-447A-8169-40AF8B6E17E4}"/>
    <cellStyle name="Normal 2" xfId="8" xr:uid="{ED179AAA-85A2-4C40-AA2E-F4766FB62A89}"/>
    <cellStyle name="Normal 3" xfId="4" xr:uid="{4B620293-B01B-4244-BE0B-882639529693}"/>
    <cellStyle name="Normal 3 2 2 2" xfId="12" xr:uid="{DF5FF339-FF95-4B71-A652-1CF04B6524F4}"/>
    <cellStyle name="Normal 3 3 2" xfId="9" xr:uid="{8EAFAEA4-47E7-4B36-B15F-3846F538AB32}"/>
    <cellStyle name="Normal 3 3 2 2" xfId="17" xr:uid="{7CEE9823-BD96-46C9-A7E2-852391026ED3}"/>
    <cellStyle name="Normal 4" xfId="19" xr:uid="{6DA520DB-60C0-44DC-B0D6-15F0812324EC}"/>
    <cellStyle name="Porcentagem" xfId="2" builtinId="5"/>
    <cellStyle name="Porcentagem 2" xfId="7" xr:uid="{EA6B6D2B-E524-46BA-9DF1-735F917DDFB2}"/>
    <cellStyle name="Porcentagem 2 2" xfId="18" xr:uid="{3C7EE48C-C254-4E6A-B604-78C0527816A8}"/>
    <cellStyle name="Porcentagem 4" xfId="11" xr:uid="{A64525E9-4CC2-4388-B087-42F421A83119}"/>
    <cellStyle name="Texto Explicativo" xfId="3" builtinId="53" customBuiltin="1"/>
    <cellStyle name="Vírgula 2" xfId="5" xr:uid="{15F97FA5-8C7A-41BA-97F6-B9A1EC9ACAAE}"/>
  </cellStyles>
  <dxfs count="0"/>
  <tableStyles count="0" defaultTableStyle="TableStyleMedium2" defaultPivotStyle="PivotStyleLight16"/>
  <colors>
    <indexedColors>
      <rgbColor rgb="FF000000"/>
      <rgbColor rgb="FFEDEDED"/>
      <rgbColor rgb="FFED1C24"/>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685"/>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83592C-DAAA-4084-93EC-B968DE853C05}">
  <sheetPr>
    <tabColor rgb="FF0070C0"/>
    <pageSetUpPr fitToPage="1"/>
  </sheetPr>
  <dimension ref="A1:I13"/>
  <sheetViews>
    <sheetView workbookViewId="0">
      <selection activeCell="F15" sqref="F15"/>
    </sheetView>
  </sheetViews>
  <sheetFormatPr defaultRowHeight="14.45"/>
  <cols>
    <col min="1" max="1" width="16.140625" customWidth="1"/>
    <col min="3" max="3" width="29.5703125" customWidth="1"/>
    <col min="4" max="4" width="12.28515625" customWidth="1"/>
    <col min="5" max="5" width="12.5703125" customWidth="1"/>
    <col min="6" max="6" width="15.5703125" customWidth="1"/>
    <col min="7" max="7" width="41.42578125" customWidth="1"/>
    <col min="9" max="9" width="18.28515625" customWidth="1"/>
  </cols>
  <sheetData>
    <row r="1" spans="1:9" ht="21.75" customHeight="1">
      <c r="A1" s="122" t="s">
        <v>0</v>
      </c>
      <c r="B1" s="122"/>
      <c r="C1" s="122"/>
      <c r="D1" s="122"/>
      <c r="E1" s="122"/>
      <c r="F1" s="122"/>
      <c r="G1" s="122"/>
    </row>
    <row r="2" spans="1:9" ht="55.5" customHeight="1">
      <c r="A2" s="60" t="s">
        <v>1</v>
      </c>
      <c r="B2" s="60" t="s">
        <v>2</v>
      </c>
      <c r="C2" s="60" t="s">
        <v>3</v>
      </c>
      <c r="D2" s="61" t="s">
        <v>4</v>
      </c>
      <c r="E2" s="61" t="s">
        <v>5</v>
      </c>
      <c r="F2" s="61" t="s">
        <v>6</v>
      </c>
      <c r="G2" s="61" t="s">
        <v>7</v>
      </c>
    </row>
    <row r="3" spans="1:9" ht="43.5">
      <c r="A3" s="123" t="s">
        <v>8</v>
      </c>
      <c r="B3" s="27">
        <v>1</v>
      </c>
      <c r="C3" s="17" t="s">
        <v>9</v>
      </c>
      <c r="D3" s="17">
        <v>1</v>
      </c>
      <c r="E3" s="59">
        <f>'Planilha de Custos Grupo I'!C132</f>
        <v>14310.62</v>
      </c>
      <c r="F3" s="58">
        <f t="shared" ref="F3:F5" si="0">E3*D3</f>
        <v>14310.62</v>
      </c>
      <c r="G3" s="58">
        <f t="shared" ref="G3:G6" si="1">F3*12</f>
        <v>171727.44</v>
      </c>
    </row>
    <row r="4" spans="1:9" ht="43.5">
      <c r="A4" s="124"/>
      <c r="B4" s="27">
        <v>2</v>
      </c>
      <c r="C4" s="17" t="s">
        <v>10</v>
      </c>
      <c r="D4" s="17">
        <v>3</v>
      </c>
      <c r="E4" s="59">
        <f>'Planilha de Custos Grupo I'!C134</f>
        <v>7709.48</v>
      </c>
      <c r="F4" s="58">
        <f t="shared" si="0"/>
        <v>23128.44</v>
      </c>
      <c r="G4" s="58">
        <f t="shared" si="1"/>
        <v>277541.27999999997</v>
      </c>
    </row>
    <row r="5" spans="1:9" ht="43.5">
      <c r="A5" s="125"/>
      <c r="B5" s="27">
        <v>3</v>
      </c>
      <c r="C5" s="17" t="s">
        <v>11</v>
      </c>
      <c r="D5" s="17">
        <v>1</v>
      </c>
      <c r="E5" s="59">
        <f>'Planilha de Custos Grupo I'!C133</f>
        <v>5702.73</v>
      </c>
      <c r="F5" s="58">
        <f t="shared" si="0"/>
        <v>5702.73</v>
      </c>
      <c r="G5" s="58">
        <f t="shared" si="1"/>
        <v>68432.759999999995</v>
      </c>
    </row>
    <row r="6" spans="1:9" ht="15">
      <c r="A6" s="27" t="s">
        <v>12</v>
      </c>
      <c r="B6" s="27"/>
      <c r="C6" s="27"/>
      <c r="D6" s="27">
        <f>SUM(D3:D5)</f>
        <v>5</v>
      </c>
      <c r="E6" s="58">
        <f>SUM(E3:E5)</f>
        <v>27722.829999999998</v>
      </c>
      <c r="F6" s="58">
        <f>SUM(F3:F5)</f>
        <v>43141.789999999994</v>
      </c>
      <c r="G6" s="115">
        <f t="shared" si="1"/>
        <v>517701.47999999992</v>
      </c>
    </row>
    <row r="13" spans="1:9">
      <c r="I13" s="110"/>
    </row>
  </sheetData>
  <mergeCells count="2">
    <mergeCell ref="A1:G1"/>
    <mergeCell ref="A3:A5"/>
  </mergeCells>
  <pageMargins left="0.511811024" right="0.511811024" top="0.78740157499999996" bottom="0.78740157499999996" header="0.31496062000000002" footer="0.31496062000000002"/>
  <pageSetup paperSize="9"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8962EC-A022-4931-AFF0-C5DF969A15A0}">
  <sheetPr>
    <tabColor rgb="FF0070C0"/>
    <pageSetUpPr fitToPage="1"/>
  </sheetPr>
  <dimension ref="A1:V137"/>
  <sheetViews>
    <sheetView showGridLines="0" topLeftCell="A115" zoomScale="70" zoomScaleNormal="70" workbookViewId="0">
      <selection activeCell="G48" sqref="G48:H48"/>
    </sheetView>
  </sheetViews>
  <sheetFormatPr defaultRowHeight="14.45"/>
  <cols>
    <col min="1" max="1" width="12.28515625" customWidth="1"/>
    <col min="2" max="2" width="54.85546875" customWidth="1"/>
    <col min="3" max="3" width="13.7109375" customWidth="1"/>
    <col min="4" max="4" width="17.7109375" customWidth="1"/>
    <col min="5" max="5" width="13.7109375" customWidth="1"/>
    <col min="6" max="6" width="17.7109375" customWidth="1"/>
    <col min="7" max="7" width="13.7109375" customWidth="1"/>
    <col min="8" max="8" width="17.7109375" customWidth="1"/>
    <col min="9" max="9" width="13.7109375" customWidth="1"/>
    <col min="10" max="10" width="17.7109375" customWidth="1"/>
    <col min="11" max="11" width="13.7109375" customWidth="1"/>
    <col min="12" max="12" width="17.7109375" customWidth="1"/>
    <col min="13" max="13" width="13.7109375" customWidth="1"/>
    <col min="14" max="20" width="17.7109375" customWidth="1"/>
    <col min="21" max="21" width="13.7109375" customWidth="1"/>
    <col min="22" max="22" width="17.7109375" customWidth="1"/>
    <col min="23" max="23" width="13.7109375" customWidth="1"/>
    <col min="24" max="24" width="17.7109375" customWidth="1"/>
    <col min="25" max="25" width="13.7109375" customWidth="1"/>
    <col min="26" max="26" width="17.7109375" customWidth="1"/>
    <col min="27" max="27" width="13.7109375" customWidth="1"/>
    <col min="28" max="28" width="17.7109375" customWidth="1"/>
    <col min="29" max="33" width="8.7109375" customWidth="1"/>
    <col min="35" max="1029" width="8.7109375" customWidth="1"/>
  </cols>
  <sheetData>
    <row r="1" spans="1:8">
      <c r="A1" s="145" t="s">
        <v>13</v>
      </c>
      <c r="B1" s="146"/>
      <c r="C1" s="146"/>
      <c r="D1" s="146"/>
      <c r="E1" s="146"/>
      <c r="F1" s="146"/>
      <c r="G1" s="146"/>
      <c r="H1" s="147"/>
    </row>
    <row r="2" spans="1:8">
      <c r="A2" s="24" t="s">
        <v>14</v>
      </c>
      <c r="B2" s="22" t="s">
        <v>15</v>
      </c>
      <c r="C2" s="126" t="s">
        <v>16</v>
      </c>
      <c r="D2" s="127" t="s">
        <v>17</v>
      </c>
      <c r="E2" s="126" t="s">
        <v>16</v>
      </c>
      <c r="F2" s="127" t="s">
        <v>18</v>
      </c>
      <c r="G2" s="126" t="s">
        <v>16</v>
      </c>
      <c r="H2" s="127" t="s">
        <v>18</v>
      </c>
    </row>
    <row r="3" spans="1:8">
      <c r="A3" s="24" t="s">
        <v>19</v>
      </c>
      <c r="B3" s="22" t="s">
        <v>20</v>
      </c>
      <c r="C3" s="128" t="s">
        <v>21</v>
      </c>
      <c r="D3" s="129" t="s">
        <v>21</v>
      </c>
      <c r="E3" s="128" t="s">
        <v>21</v>
      </c>
      <c r="F3" s="129" t="s">
        <v>21</v>
      </c>
      <c r="G3" s="128" t="s">
        <v>21</v>
      </c>
      <c r="H3" s="129" t="s">
        <v>21</v>
      </c>
    </row>
    <row r="4" spans="1:8">
      <c r="A4" s="24" t="s">
        <v>22</v>
      </c>
      <c r="B4" s="22" t="s">
        <v>23</v>
      </c>
      <c r="C4" s="126">
        <v>2025</v>
      </c>
      <c r="D4" s="127"/>
      <c r="E4" s="126">
        <v>2025</v>
      </c>
      <c r="F4" s="127"/>
      <c r="G4" s="126">
        <v>2025</v>
      </c>
      <c r="H4" s="127"/>
    </row>
    <row r="5" spans="1:8">
      <c r="A5" s="24" t="s">
        <v>24</v>
      </c>
      <c r="B5" s="22" t="s">
        <v>25</v>
      </c>
      <c r="C5" s="126">
        <v>12</v>
      </c>
      <c r="D5" s="127"/>
      <c r="E5" s="126">
        <v>12</v>
      </c>
      <c r="F5" s="127"/>
      <c r="G5" s="126">
        <v>12</v>
      </c>
      <c r="H5" s="127"/>
    </row>
    <row r="7" spans="1:8" ht="14.45" customHeight="1">
      <c r="A7" s="145" t="s">
        <v>26</v>
      </c>
      <c r="B7" s="146"/>
      <c r="C7" s="146"/>
      <c r="D7" s="146"/>
      <c r="E7" s="146"/>
      <c r="F7" s="146"/>
      <c r="G7" s="146"/>
      <c r="H7" s="147"/>
    </row>
    <row r="8" spans="1:8">
      <c r="A8" s="24">
        <v>1</v>
      </c>
      <c r="B8" s="31" t="s">
        <v>27</v>
      </c>
      <c r="C8" s="128" t="s">
        <v>28</v>
      </c>
      <c r="D8" s="129"/>
      <c r="E8" s="128" t="s">
        <v>29</v>
      </c>
      <c r="F8" s="129"/>
      <c r="G8" s="128" t="s">
        <v>30</v>
      </c>
      <c r="H8" s="129"/>
    </row>
    <row r="9" spans="1:8">
      <c r="A9" s="24" t="s">
        <v>14</v>
      </c>
      <c r="B9" s="22" t="s">
        <v>31</v>
      </c>
      <c r="C9" s="126" t="s">
        <v>32</v>
      </c>
      <c r="D9" s="127"/>
      <c r="E9" s="126" t="s">
        <v>32</v>
      </c>
      <c r="F9" s="127"/>
      <c r="G9" s="126" t="s">
        <v>32</v>
      </c>
      <c r="H9" s="127"/>
    </row>
    <row r="10" spans="1:8">
      <c r="A10" s="24" t="s">
        <v>19</v>
      </c>
      <c r="B10" s="22" t="s">
        <v>33</v>
      </c>
      <c r="C10" s="126">
        <v>1</v>
      </c>
      <c r="D10" s="127"/>
      <c r="E10" s="126">
        <v>1</v>
      </c>
      <c r="F10" s="127"/>
      <c r="G10" s="126">
        <v>1</v>
      </c>
      <c r="H10" s="127"/>
    </row>
    <row r="11" spans="1:8">
      <c r="A11" s="14"/>
      <c r="C11" s="41"/>
      <c r="D11" s="42"/>
      <c r="E11" s="41"/>
      <c r="F11" s="42"/>
      <c r="G11" s="42"/>
      <c r="H11" s="42"/>
    </row>
    <row r="12" spans="1:8" ht="14.45" customHeight="1">
      <c r="A12" s="145" t="s">
        <v>34</v>
      </c>
      <c r="B12" s="146"/>
      <c r="C12" s="146"/>
      <c r="D12" s="146"/>
      <c r="E12" s="146"/>
      <c r="F12" s="146"/>
      <c r="G12" s="146"/>
      <c r="H12" s="147"/>
    </row>
    <row r="13" spans="1:8">
      <c r="A13" s="24">
        <v>1</v>
      </c>
      <c r="B13" s="22" t="s">
        <v>35</v>
      </c>
      <c r="C13" s="130" t="s">
        <v>28</v>
      </c>
      <c r="D13" s="131"/>
      <c r="E13" s="130" t="s">
        <v>29</v>
      </c>
      <c r="F13" s="131"/>
      <c r="G13" s="130" t="s">
        <v>30</v>
      </c>
      <c r="H13" s="131"/>
    </row>
    <row r="14" spans="1:8">
      <c r="A14" s="24">
        <v>2</v>
      </c>
      <c r="B14" s="22" t="s">
        <v>36</v>
      </c>
      <c r="C14" s="126" t="s">
        <v>37</v>
      </c>
      <c r="D14" s="127"/>
      <c r="E14" s="126" t="s">
        <v>38</v>
      </c>
      <c r="F14" s="127"/>
      <c r="G14" s="126" t="s">
        <v>39</v>
      </c>
      <c r="H14" s="127"/>
    </row>
    <row r="15" spans="1:8">
      <c r="A15" s="24">
        <v>3</v>
      </c>
      <c r="B15" s="22" t="s">
        <v>40</v>
      </c>
      <c r="C15" s="133">
        <v>1743.69</v>
      </c>
      <c r="D15" s="134"/>
      <c r="E15" s="133">
        <v>1743.69</v>
      </c>
      <c r="F15" s="134"/>
      <c r="G15" s="133">
        <v>2574.37</v>
      </c>
      <c r="H15" s="131"/>
    </row>
    <row r="16" spans="1:8">
      <c r="A16" s="24">
        <v>4</v>
      </c>
      <c r="B16" s="22" t="s">
        <v>41</v>
      </c>
      <c r="C16" s="126" t="s">
        <v>42</v>
      </c>
      <c r="D16" s="127"/>
      <c r="E16" s="126" t="s">
        <v>42</v>
      </c>
      <c r="F16" s="127"/>
      <c r="G16" s="126" t="s">
        <v>42</v>
      </c>
      <c r="H16" s="127"/>
    </row>
    <row r="17" spans="1:9">
      <c r="A17" s="24">
        <v>5</v>
      </c>
      <c r="B17" s="22" t="s">
        <v>43</v>
      </c>
      <c r="C17" s="132">
        <v>45686</v>
      </c>
      <c r="D17" s="127"/>
      <c r="E17" s="132">
        <v>45686</v>
      </c>
      <c r="F17" s="127"/>
      <c r="G17" s="132">
        <v>45686</v>
      </c>
      <c r="H17" s="127"/>
    </row>
    <row r="19" spans="1:9" ht="39.950000000000003" customHeight="1">
      <c r="A19" s="137" t="s">
        <v>44</v>
      </c>
      <c r="B19" s="137"/>
      <c r="C19" s="135" t="s">
        <v>28</v>
      </c>
      <c r="D19" s="135"/>
      <c r="E19" s="135" t="s">
        <v>29</v>
      </c>
      <c r="F19" s="135"/>
      <c r="G19" s="135" t="s">
        <v>30</v>
      </c>
      <c r="H19" s="135"/>
    </row>
    <row r="20" spans="1:9">
      <c r="A20" s="24">
        <v>1</v>
      </c>
      <c r="B20" s="24" t="s">
        <v>45</v>
      </c>
      <c r="C20" s="24"/>
      <c r="D20" s="24" t="s">
        <v>46</v>
      </c>
      <c r="E20" s="24"/>
      <c r="F20" s="24" t="s">
        <v>46</v>
      </c>
      <c r="G20" s="24"/>
      <c r="H20" s="24" t="s">
        <v>46</v>
      </c>
    </row>
    <row r="21" spans="1:9">
      <c r="A21" s="24" t="s">
        <v>14</v>
      </c>
      <c r="B21" s="22" t="s">
        <v>47</v>
      </c>
      <c r="C21" s="2"/>
      <c r="D21" s="3">
        <f>C15</f>
        <v>1743.69</v>
      </c>
      <c r="E21" s="2"/>
      <c r="F21" s="3">
        <f>E15</f>
        <v>1743.69</v>
      </c>
      <c r="G21" s="2"/>
      <c r="H21" s="3">
        <f>G15</f>
        <v>2574.37</v>
      </c>
      <c r="I21" t="s">
        <v>48</v>
      </c>
    </row>
    <row r="22" spans="1:9">
      <c r="A22" s="24" t="s">
        <v>19</v>
      </c>
      <c r="B22" s="22" t="s">
        <v>49</v>
      </c>
      <c r="C22" s="2"/>
      <c r="D22" s="3"/>
      <c r="E22" s="2"/>
      <c r="F22" s="3"/>
      <c r="G22" s="2"/>
      <c r="H22" s="3"/>
      <c r="I22" t="s">
        <v>50</v>
      </c>
    </row>
    <row r="23" spans="1:9">
      <c r="A23" s="24" t="s">
        <v>22</v>
      </c>
      <c r="B23" s="22" t="s">
        <v>51</v>
      </c>
      <c r="C23" s="2"/>
      <c r="D23" s="3"/>
      <c r="E23" s="2"/>
      <c r="F23" s="3"/>
      <c r="G23" s="2"/>
      <c r="H23" s="3"/>
      <c r="I23" t="s">
        <v>52</v>
      </c>
    </row>
    <row r="24" spans="1:9">
      <c r="A24" s="24" t="s">
        <v>24</v>
      </c>
      <c r="B24" s="22" t="s">
        <v>53</v>
      </c>
      <c r="C24" s="2"/>
      <c r="D24" s="3"/>
      <c r="E24" s="2"/>
      <c r="F24" s="3"/>
      <c r="G24" s="2"/>
      <c r="H24" s="3"/>
      <c r="I24" t="s">
        <v>54</v>
      </c>
    </row>
    <row r="25" spans="1:9">
      <c r="A25" s="136" t="s">
        <v>55</v>
      </c>
      <c r="B25" s="136"/>
      <c r="C25" s="22"/>
      <c r="D25" s="4">
        <f>SUM(D21:D24)</f>
        <v>1743.69</v>
      </c>
      <c r="E25" s="22"/>
      <c r="F25" s="4">
        <f>SUM(F21:F24)</f>
        <v>1743.69</v>
      </c>
      <c r="G25" s="22"/>
      <c r="H25" s="4">
        <f>SUM(H21:H24)</f>
        <v>2574.37</v>
      </c>
    </row>
    <row r="27" spans="1:9" ht="15" customHeight="1"/>
    <row r="28" spans="1:9" ht="39.950000000000003" customHeight="1">
      <c r="A28" s="137" t="s">
        <v>56</v>
      </c>
      <c r="B28" s="137"/>
      <c r="C28" s="135" t="str">
        <f>$C$19</f>
        <v>Copeiragem</v>
      </c>
      <c r="D28" s="135"/>
      <c r="E28" s="135" t="str">
        <f>$E$19</f>
        <v>Carregador</v>
      </c>
      <c r="F28" s="135"/>
      <c r="G28" s="135" t="str">
        <f>$G$19</f>
        <v>Garçom</v>
      </c>
      <c r="H28" s="135"/>
    </row>
    <row r="29" spans="1:9">
      <c r="A29" s="24" t="s">
        <v>57</v>
      </c>
      <c r="B29" s="24" t="s">
        <v>58</v>
      </c>
      <c r="C29" s="24" t="s">
        <v>59</v>
      </c>
      <c r="D29" s="24" t="s">
        <v>46</v>
      </c>
      <c r="E29" s="24" t="s">
        <v>59</v>
      </c>
      <c r="F29" s="24" t="s">
        <v>46</v>
      </c>
      <c r="G29" s="24" t="s">
        <v>59</v>
      </c>
      <c r="H29" s="24" t="s">
        <v>46</v>
      </c>
      <c r="I29" t="s">
        <v>60</v>
      </c>
    </row>
    <row r="30" spans="1:9">
      <c r="A30" s="24" t="s">
        <v>14</v>
      </c>
      <c r="B30" s="22" t="s">
        <v>61</v>
      </c>
      <c r="C30" s="5">
        <f>1/12</f>
        <v>8.3333333333333329E-2</v>
      </c>
      <c r="D30" s="3">
        <f>ROUND(C30*D25,2)</f>
        <v>145.31</v>
      </c>
      <c r="E30" s="5">
        <f>1/12</f>
        <v>8.3333333333333329E-2</v>
      </c>
      <c r="F30" s="3">
        <f>ROUND(E30*F25,2)</f>
        <v>145.31</v>
      </c>
      <c r="G30" s="5">
        <f>1/12</f>
        <v>8.3333333333333329E-2</v>
      </c>
      <c r="H30" s="3">
        <f>ROUND(G30*H25,2)</f>
        <v>214.53</v>
      </c>
      <c r="I30" t="s">
        <v>62</v>
      </c>
    </row>
    <row r="31" spans="1:9">
      <c r="A31" s="24" t="s">
        <v>19</v>
      </c>
      <c r="B31" s="22" t="s">
        <v>63</v>
      </c>
      <c r="C31" s="5">
        <f>(1/12)+(1/3/12)</f>
        <v>0.1111111111111111</v>
      </c>
      <c r="D31" s="3">
        <f>ROUND(C31*D25,2)</f>
        <v>193.74</v>
      </c>
      <c r="E31" s="5">
        <f>(1/12)+(1/3/12)</f>
        <v>0.1111111111111111</v>
      </c>
      <c r="F31" s="3">
        <f>ROUND(E31*F25,2)</f>
        <v>193.74</v>
      </c>
      <c r="G31" s="5">
        <f>(1/12)+(1/3/12)</f>
        <v>0.1111111111111111</v>
      </c>
      <c r="H31" s="3">
        <f>ROUND(G31*H25,2)</f>
        <v>286.04000000000002</v>
      </c>
    </row>
    <row r="32" spans="1:9">
      <c r="A32" s="136" t="s">
        <v>55</v>
      </c>
      <c r="B32" s="136"/>
      <c r="C32" s="25">
        <f t="shared" ref="C32:H32" si="0">SUM(C30:C31)</f>
        <v>0.19444444444444442</v>
      </c>
      <c r="D32" s="4">
        <f t="shared" si="0"/>
        <v>339.05</v>
      </c>
      <c r="E32" s="25">
        <f t="shared" si="0"/>
        <v>0.19444444444444442</v>
      </c>
      <c r="F32" s="4">
        <f t="shared" si="0"/>
        <v>339.05</v>
      </c>
      <c r="G32" s="25">
        <f t="shared" si="0"/>
        <v>0.19444444444444442</v>
      </c>
      <c r="H32" s="4">
        <f t="shared" si="0"/>
        <v>500.57000000000005</v>
      </c>
    </row>
    <row r="34" spans="1:9" ht="15" customHeight="1"/>
    <row r="35" spans="1:9" ht="39.950000000000003" customHeight="1">
      <c r="A35" s="135" t="s">
        <v>64</v>
      </c>
      <c r="B35" s="135"/>
      <c r="C35" s="135" t="str">
        <f>$C$19</f>
        <v>Copeiragem</v>
      </c>
      <c r="D35" s="135"/>
      <c r="E35" s="135" t="str">
        <f>$E$19</f>
        <v>Carregador</v>
      </c>
      <c r="F35" s="135"/>
      <c r="G35" s="135" t="str">
        <f>$G$19</f>
        <v>Garçom</v>
      </c>
      <c r="H35" s="135"/>
    </row>
    <row r="36" spans="1:9">
      <c r="A36" s="24" t="s">
        <v>65</v>
      </c>
      <c r="B36" s="24" t="s">
        <v>66</v>
      </c>
      <c r="C36" s="24" t="s">
        <v>59</v>
      </c>
      <c r="D36" s="24" t="s">
        <v>46</v>
      </c>
      <c r="E36" s="24" t="s">
        <v>59</v>
      </c>
      <c r="F36" s="24" t="s">
        <v>46</v>
      </c>
      <c r="G36" s="24" t="s">
        <v>59</v>
      </c>
      <c r="H36" s="24" t="s">
        <v>46</v>
      </c>
      <c r="I36" t="s">
        <v>67</v>
      </c>
    </row>
    <row r="37" spans="1:9">
      <c r="A37" s="24" t="s">
        <v>14</v>
      </c>
      <c r="B37" s="22" t="s">
        <v>68</v>
      </c>
      <c r="C37" s="6">
        <v>0.2</v>
      </c>
      <c r="D37" s="3">
        <f t="shared" ref="D37:D44" si="1">(C37*($D$32+$D$25))</f>
        <v>416.54800000000006</v>
      </c>
      <c r="E37" s="6">
        <v>0.2</v>
      </c>
      <c r="F37" s="3">
        <f t="shared" ref="F37:F44" si="2">E37*($F$32+$F$25)</f>
        <v>416.54800000000006</v>
      </c>
      <c r="G37" s="6">
        <v>0.2</v>
      </c>
      <c r="H37" s="3">
        <f t="shared" ref="H37:H44" si="3">G37*($H$32+$H$25)</f>
        <v>614.98800000000006</v>
      </c>
      <c r="I37" t="s">
        <v>69</v>
      </c>
    </row>
    <row r="38" spans="1:9">
      <c r="A38" s="24" t="s">
        <v>19</v>
      </c>
      <c r="B38" s="22" t="s">
        <v>70</v>
      </c>
      <c r="C38" s="6">
        <v>2.5000000000000001E-2</v>
      </c>
      <c r="D38" s="3">
        <f t="shared" si="1"/>
        <v>52.068500000000007</v>
      </c>
      <c r="E38" s="6">
        <v>2.5000000000000001E-2</v>
      </c>
      <c r="F38" s="3">
        <f t="shared" si="2"/>
        <v>52.068500000000007</v>
      </c>
      <c r="G38" s="6">
        <v>2.5000000000000001E-2</v>
      </c>
      <c r="H38" s="3">
        <f t="shared" si="3"/>
        <v>76.873500000000007</v>
      </c>
      <c r="I38" t="s">
        <v>71</v>
      </c>
    </row>
    <row r="39" spans="1:9">
      <c r="A39" s="24" t="s">
        <v>22</v>
      </c>
      <c r="B39" s="22" t="s">
        <v>72</v>
      </c>
      <c r="C39" s="6">
        <v>0.03</v>
      </c>
      <c r="D39" s="3">
        <f t="shared" si="1"/>
        <v>62.482200000000006</v>
      </c>
      <c r="E39" s="6">
        <v>0.03</v>
      </c>
      <c r="F39" s="3">
        <f t="shared" si="2"/>
        <v>62.482200000000006</v>
      </c>
      <c r="G39" s="6">
        <v>0.03</v>
      </c>
      <c r="H39" s="3">
        <f t="shared" si="3"/>
        <v>92.248199999999997</v>
      </c>
      <c r="I39" t="s">
        <v>73</v>
      </c>
    </row>
    <row r="40" spans="1:9">
      <c r="A40" s="24" t="s">
        <v>24</v>
      </c>
      <c r="B40" s="22" t="s">
        <v>74</v>
      </c>
      <c r="C40" s="6">
        <v>1.4999999999999999E-2</v>
      </c>
      <c r="D40" s="3">
        <f t="shared" si="1"/>
        <v>31.241100000000003</v>
      </c>
      <c r="E40" s="6">
        <v>1.4999999999999999E-2</v>
      </c>
      <c r="F40" s="3">
        <f t="shared" si="2"/>
        <v>31.241100000000003</v>
      </c>
      <c r="G40" s="6">
        <v>1.4999999999999999E-2</v>
      </c>
      <c r="H40" s="3">
        <f t="shared" si="3"/>
        <v>46.124099999999999</v>
      </c>
      <c r="I40" t="s">
        <v>75</v>
      </c>
    </row>
    <row r="41" spans="1:9">
      <c r="A41" s="24" t="s">
        <v>76</v>
      </c>
      <c r="B41" s="22" t="s">
        <v>77</v>
      </c>
      <c r="C41" s="6">
        <v>0.01</v>
      </c>
      <c r="D41" s="3">
        <f t="shared" si="1"/>
        <v>20.827400000000004</v>
      </c>
      <c r="E41" s="6">
        <v>0.01</v>
      </c>
      <c r="F41" s="3">
        <f t="shared" si="2"/>
        <v>20.827400000000004</v>
      </c>
      <c r="G41" s="6">
        <v>0.01</v>
      </c>
      <c r="H41" s="3">
        <f t="shared" si="3"/>
        <v>30.749400000000001</v>
      </c>
      <c r="I41" t="s">
        <v>78</v>
      </c>
    </row>
    <row r="42" spans="1:9">
      <c r="A42" s="24" t="s">
        <v>79</v>
      </c>
      <c r="B42" s="22" t="s">
        <v>80</v>
      </c>
      <c r="C42" s="6">
        <v>6.0000000000000001E-3</v>
      </c>
      <c r="D42" s="3">
        <f t="shared" si="1"/>
        <v>12.496440000000002</v>
      </c>
      <c r="E42" s="6">
        <v>6.0000000000000001E-3</v>
      </c>
      <c r="F42" s="3">
        <f t="shared" si="2"/>
        <v>12.496440000000002</v>
      </c>
      <c r="G42" s="6">
        <v>6.0000000000000001E-3</v>
      </c>
      <c r="H42" s="3">
        <f t="shared" si="3"/>
        <v>18.449640000000002</v>
      </c>
      <c r="I42" t="s">
        <v>81</v>
      </c>
    </row>
    <row r="43" spans="1:9">
      <c r="A43" s="24" t="s">
        <v>82</v>
      </c>
      <c r="B43" s="22" t="s">
        <v>83</v>
      </c>
      <c r="C43" s="6">
        <v>2E-3</v>
      </c>
      <c r="D43" s="3">
        <f t="shared" si="1"/>
        <v>4.1654800000000005</v>
      </c>
      <c r="E43" s="6">
        <v>2E-3</v>
      </c>
      <c r="F43" s="3">
        <f t="shared" si="2"/>
        <v>4.1654800000000005</v>
      </c>
      <c r="G43" s="6">
        <v>2E-3</v>
      </c>
      <c r="H43" s="3">
        <f t="shared" si="3"/>
        <v>6.1498800000000005</v>
      </c>
      <c r="I43" t="s">
        <v>84</v>
      </c>
    </row>
    <row r="44" spans="1:9">
      <c r="A44" s="24" t="s">
        <v>85</v>
      </c>
      <c r="B44" s="22" t="s">
        <v>86</v>
      </c>
      <c r="C44" s="6">
        <v>0.08</v>
      </c>
      <c r="D44" s="3">
        <f t="shared" si="1"/>
        <v>166.61920000000003</v>
      </c>
      <c r="E44" s="6">
        <v>0.08</v>
      </c>
      <c r="F44" s="3">
        <f t="shared" si="2"/>
        <v>166.61920000000003</v>
      </c>
      <c r="G44" s="6">
        <v>0.08</v>
      </c>
      <c r="H44" s="3">
        <f t="shared" si="3"/>
        <v>245.99520000000001</v>
      </c>
    </row>
    <row r="45" spans="1:9">
      <c r="A45" s="136" t="s">
        <v>55</v>
      </c>
      <c r="B45" s="136"/>
      <c r="C45" s="6">
        <f>SUM(C37:C44)</f>
        <v>0.36800000000000005</v>
      </c>
      <c r="D45" s="4">
        <f>(ROUND(SUM(D37:D44),2))</f>
        <v>766.45</v>
      </c>
      <c r="E45" s="6">
        <f>SUM(E37:E44)</f>
        <v>0.36800000000000005</v>
      </c>
      <c r="F45" s="4">
        <f>(ROUND(SUM(F37:F44),2))</f>
        <v>766.45</v>
      </c>
      <c r="G45" s="6">
        <f>SUM(G37:G44)</f>
        <v>0.36800000000000005</v>
      </c>
      <c r="H45" s="4">
        <f>(ROUND(SUM(H37:H44),2))</f>
        <v>1131.58</v>
      </c>
    </row>
    <row r="47" spans="1:9" ht="15" customHeight="1"/>
    <row r="48" spans="1:9" ht="39.950000000000003" customHeight="1">
      <c r="A48" s="135" t="s">
        <v>87</v>
      </c>
      <c r="B48" s="135"/>
      <c r="C48" s="135" t="str">
        <f>$C$19</f>
        <v>Copeiragem</v>
      </c>
      <c r="D48" s="135"/>
      <c r="E48" s="135" t="str">
        <f>$E$19</f>
        <v>Carregador</v>
      </c>
      <c r="F48" s="135"/>
      <c r="G48" s="135" t="str">
        <f>$G$19</f>
        <v>Garçom</v>
      </c>
      <c r="H48" s="135"/>
    </row>
    <row r="49" spans="1:9" ht="29.1">
      <c r="A49" s="24" t="s">
        <v>88</v>
      </c>
      <c r="B49" s="24" t="s">
        <v>89</v>
      </c>
      <c r="C49" s="20" t="s">
        <v>90</v>
      </c>
      <c r="D49" s="24" t="s">
        <v>46</v>
      </c>
      <c r="E49" s="20" t="s">
        <v>90</v>
      </c>
      <c r="F49" s="24" t="s">
        <v>46</v>
      </c>
      <c r="G49" s="20" t="s">
        <v>90</v>
      </c>
      <c r="H49" s="24" t="s">
        <v>46</v>
      </c>
      <c r="I49" t="s">
        <v>91</v>
      </c>
    </row>
    <row r="50" spans="1:9">
      <c r="A50" s="24" t="s">
        <v>14</v>
      </c>
      <c r="B50" s="22" t="s">
        <v>92</v>
      </c>
      <c r="C50" s="26">
        <v>5.5</v>
      </c>
      <c r="D50" s="3">
        <f>ROUND(IF((C50*2*21)-(D21*6%)&gt;=0,(C50*2*21)-(D21*6%),0),2)</f>
        <v>126.38</v>
      </c>
      <c r="E50" s="26">
        <v>5.5</v>
      </c>
      <c r="F50" s="3">
        <f>ROUND(IF((E50*2*21)-(F21*6%)&gt;=0,(E50*2*21)-(F21*6%),0),2)</f>
        <v>126.38</v>
      </c>
      <c r="G50" s="26">
        <v>5.5</v>
      </c>
      <c r="H50" s="3">
        <v>126.38</v>
      </c>
    </row>
    <row r="51" spans="1:9">
      <c r="A51" s="138" t="s">
        <v>19</v>
      </c>
      <c r="B51" s="139" t="s">
        <v>93</v>
      </c>
      <c r="C51" s="10" t="s">
        <v>94</v>
      </c>
      <c r="D51" s="3"/>
      <c r="E51" s="10" t="s">
        <v>94</v>
      </c>
      <c r="F51" s="3"/>
      <c r="G51" s="10" t="s">
        <v>94</v>
      </c>
      <c r="H51" s="3"/>
      <c r="I51" t="s">
        <v>95</v>
      </c>
    </row>
    <row r="52" spans="1:9">
      <c r="A52" s="138"/>
      <c r="B52" s="139"/>
      <c r="C52" s="26">
        <v>44.3</v>
      </c>
      <c r="D52" s="3">
        <f>(C52*21)</f>
        <v>930.3</v>
      </c>
      <c r="E52" s="26">
        <v>44.3</v>
      </c>
      <c r="F52" s="3">
        <f>(E52*21)</f>
        <v>930.3</v>
      </c>
      <c r="G52" s="26">
        <v>44.3</v>
      </c>
      <c r="H52" s="3">
        <f>(G52*21)</f>
        <v>930.3</v>
      </c>
    </row>
    <row r="53" spans="1:9">
      <c r="A53" s="24" t="s">
        <v>22</v>
      </c>
      <c r="B53" s="22" t="s">
        <v>96</v>
      </c>
      <c r="C53" s="6"/>
      <c r="D53" s="24"/>
      <c r="E53" s="6"/>
      <c r="F53" s="24"/>
      <c r="G53" s="6"/>
      <c r="H53" s="24"/>
    </row>
    <row r="54" spans="1:9">
      <c r="A54" s="136" t="s">
        <v>55</v>
      </c>
      <c r="B54" s="136"/>
      <c r="C54" s="22"/>
      <c r="D54" s="4">
        <f>ROUND(SUM(D50:D53),2)</f>
        <v>1056.68</v>
      </c>
      <c r="E54" s="22"/>
      <c r="F54" s="4">
        <f>ROUND(SUM(F50:F53),2)</f>
        <v>1056.68</v>
      </c>
      <c r="G54" s="22"/>
      <c r="H54" s="4">
        <f>ROUND(SUM(H50:H53),2)</f>
        <v>1056.68</v>
      </c>
    </row>
    <row r="56" spans="1:9" ht="15" customHeight="1"/>
    <row r="57" spans="1:9" ht="39.950000000000003" customHeight="1">
      <c r="A57" s="135" t="s">
        <v>97</v>
      </c>
      <c r="B57" s="135"/>
      <c r="C57" s="135" t="str">
        <f>$C$19</f>
        <v>Copeiragem</v>
      </c>
      <c r="D57" s="135"/>
      <c r="E57" s="135" t="str">
        <f>$E$19</f>
        <v>Carregador</v>
      </c>
      <c r="F57" s="135"/>
      <c r="G57" s="135" t="str">
        <f>$G$19</f>
        <v>Garçom</v>
      </c>
      <c r="H57" s="135"/>
    </row>
    <row r="58" spans="1:9">
      <c r="A58" s="24">
        <v>2</v>
      </c>
      <c r="B58" s="24" t="s">
        <v>89</v>
      </c>
      <c r="C58" s="24"/>
      <c r="D58" s="24" t="s">
        <v>46</v>
      </c>
      <c r="E58" s="24"/>
      <c r="F58" s="24" t="s">
        <v>46</v>
      </c>
      <c r="G58" s="24"/>
      <c r="H58" s="24" t="s">
        <v>46</v>
      </c>
    </row>
    <row r="59" spans="1:9">
      <c r="A59" s="24" t="s">
        <v>57</v>
      </c>
      <c r="B59" s="22" t="s">
        <v>98</v>
      </c>
      <c r="C59" s="6"/>
      <c r="D59" s="3">
        <f>D32</f>
        <v>339.05</v>
      </c>
      <c r="E59" s="7"/>
      <c r="F59" s="3">
        <f>F32</f>
        <v>339.05</v>
      </c>
      <c r="G59" s="7"/>
      <c r="H59" s="3">
        <f>H32</f>
        <v>500.57000000000005</v>
      </c>
    </row>
    <row r="60" spans="1:9">
      <c r="A60" s="24" t="s">
        <v>65</v>
      </c>
      <c r="B60" s="22" t="s">
        <v>66</v>
      </c>
      <c r="C60" s="6"/>
      <c r="D60" s="23">
        <f>D45</f>
        <v>766.45</v>
      </c>
      <c r="E60" s="7"/>
      <c r="F60" s="23">
        <f>F45</f>
        <v>766.45</v>
      </c>
      <c r="G60" s="7"/>
      <c r="H60" s="23">
        <f>H45</f>
        <v>1131.58</v>
      </c>
    </row>
    <row r="61" spans="1:9">
      <c r="A61" s="24" t="s">
        <v>88</v>
      </c>
      <c r="B61" s="22" t="s">
        <v>89</v>
      </c>
      <c r="C61" s="6"/>
      <c r="D61" s="23">
        <f>D54</f>
        <v>1056.68</v>
      </c>
      <c r="E61" s="7"/>
      <c r="F61" s="23">
        <f>F54</f>
        <v>1056.68</v>
      </c>
      <c r="G61" s="7"/>
      <c r="H61" s="23">
        <f>H54</f>
        <v>1056.68</v>
      </c>
    </row>
    <row r="62" spans="1:9">
      <c r="A62" s="136" t="s">
        <v>55</v>
      </c>
      <c r="B62" s="136"/>
      <c r="C62" s="22"/>
      <c r="D62" s="8">
        <f>SUM(D59:D61)</f>
        <v>2162.1800000000003</v>
      </c>
      <c r="E62" s="22"/>
      <c r="F62" s="4">
        <f>SUM(F59:F61)</f>
        <v>2162.1800000000003</v>
      </c>
      <c r="G62" s="22"/>
      <c r="H62" s="4">
        <f>SUM(H59:H61)</f>
        <v>2688.83</v>
      </c>
    </row>
    <row r="64" spans="1:9" ht="15" customHeight="1"/>
    <row r="65" spans="1:9" ht="39.950000000000003" customHeight="1">
      <c r="A65" s="135" t="s">
        <v>99</v>
      </c>
      <c r="B65" s="135"/>
      <c r="C65" s="135" t="str">
        <f>$C$19</f>
        <v>Copeiragem</v>
      </c>
      <c r="D65" s="135"/>
      <c r="E65" s="135" t="str">
        <f>$E$19</f>
        <v>Carregador</v>
      </c>
      <c r="F65" s="135"/>
      <c r="G65" s="135" t="str">
        <f>$G$19</f>
        <v>Garçom</v>
      </c>
      <c r="H65" s="135"/>
    </row>
    <row r="66" spans="1:9">
      <c r="A66" s="24">
        <v>3</v>
      </c>
      <c r="B66" s="24" t="s">
        <v>100</v>
      </c>
      <c r="C66" s="24" t="s">
        <v>59</v>
      </c>
      <c r="D66" s="24" t="s">
        <v>46</v>
      </c>
      <c r="E66" s="24" t="s">
        <v>59</v>
      </c>
      <c r="F66" s="24" t="s">
        <v>46</v>
      </c>
      <c r="G66" s="24" t="s">
        <v>59</v>
      </c>
      <c r="H66" s="24" t="s">
        <v>46</v>
      </c>
      <c r="I66" t="s">
        <v>101</v>
      </c>
    </row>
    <row r="67" spans="1:9">
      <c r="A67" s="24" t="s">
        <v>14</v>
      </c>
      <c r="B67" s="22" t="s">
        <v>102</v>
      </c>
      <c r="C67" s="5">
        <f>(1/12*5.55%)</f>
        <v>4.6249999999999998E-3</v>
      </c>
      <c r="D67" s="3">
        <f>ROUND(C67*D25,2)</f>
        <v>8.06</v>
      </c>
      <c r="E67" s="5">
        <f>(1/12*5.55%)</f>
        <v>4.6249999999999998E-3</v>
      </c>
      <c r="F67" s="3">
        <f>ROUND(E67*F25,2)</f>
        <v>8.06</v>
      </c>
      <c r="G67" s="5">
        <f>(1/12*5.55%)</f>
        <v>4.6249999999999998E-3</v>
      </c>
      <c r="H67" s="3">
        <f>ROUND(G67*H25,2)</f>
        <v>11.91</v>
      </c>
    </row>
    <row r="68" spans="1:9">
      <c r="A68" s="24" t="s">
        <v>19</v>
      </c>
      <c r="B68" s="22" t="s">
        <v>103</v>
      </c>
      <c r="C68" s="5">
        <v>0.08</v>
      </c>
      <c r="D68" s="3">
        <f>C68*D67</f>
        <v>0.64480000000000004</v>
      </c>
      <c r="E68" s="5">
        <v>0.08</v>
      </c>
      <c r="F68" s="3">
        <f>E68*F67</f>
        <v>0.64480000000000004</v>
      </c>
      <c r="G68" s="5">
        <v>0.08</v>
      </c>
      <c r="H68" s="3">
        <f>G68*H67</f>
        <v>0.95279999999999998</v>
      </c>
      <c r="I68" t="s">
        <v>104</v>
      </c>
    </row>
    <row r="69" spans="1:9">
      <c r="A69" s="24" t="s">
        <v>22</v>
      </c>
      <c r="B69" s="22" t="s">
        <v>105</v>
      </c>
      <c r="C69" s="5">
        <f>(7/30)/12</f>
        <v>1.9444444444444445E-2</v>
      </c>
      <c r="D69" s="3">
        <f>C69*D25</f>
        <v>33.905083333333337</v>
      </c>
      <c r="E69" s="5">
        <f>(7/30)/12</f>
        <v>1.9444444444444445E-2</v>
      </c>
      <c r="F69" s="3">
        <f>E69*F25</f>
        <v>33.905083333333337</v>
      </c>
      <c r="G69" s="5">
        <f>(7/30)/12</f>
        <v>1.9444444444444445E-2</v>
      </c>
      <c r="H69" s="3">
        <f>G69*H25</f>
        <v>50.057194444444441</v>
      </c>
    </row>
    <row r="70" spans="1:9">
      <c r="A70" s="27" t="s">
        <v>24</v>
      </c>
      <c r="B70" s="9" t="s">
        <v>106</v>
      </c>
      <c r="C70" s="5">
        <f>C45</f>
        <v>0.36800000000000005</v>
      </c>
      <c r="D70" s="3">
        <f>C70*D69</f>
        <v>12.47707066666667</v>
      </c>
      <c r="E70" s="5">
        <f>E45</f>
        <v>0.36800000000000005</v>
      </c>
      <c r="F70" s="3">
        <f>E70*F69</f>
        <v>12.47707066666667</v>
      </c>
      <c r="G70" s="5">
        <f>G45</f>
        <v>0.36800000000000005</v>
      </c>
      <c r="H70" s="3">
        <f>G70*H69</f>
        <v>18.421047555555557</v>
      </c>
      <c r="I70" t="s">
        <v>107</v>
      </c>
    </row>
    <row r="71" spans="1:9">
      <c r="A71" s="24" t="s">
        <v>76</v>
      </c>
      <c r="B71" s="22" t="s">
        <v>108</v>
      </c>
      <c r="C71" s="5">
        <v>0.04</v>
      </c>
      <c r="D71" s="3">
        <f>C71*D25</f>
        <v>69.747600000000006</v>
      </c>
      <c r="E71" s="5">
        <v>0.04</v>
      </c>
      <c r="F71" s="3">
        <f>E71*F25</f>
        <v>69.747600000000006</v>
      </c>
      <c r="G71" s="5">
        <v>0.04</v>
      </c>
      <c r="H71" s="3">
        <f>G71*H25</f>
        <v>102.9748</v>
      </c>
    </row>
    <row r="72" spans="1:9">
      <c r="A72" s="136" t="s">
        <v>55</v>
      </c>
      <c r="B72" s="136"/>
      <c r="C72" s="22"/>
      <c r="D72" s="4">
        <f>ROUND(SUM(D67:D71),2)</f>
        <v>124.83</v>
      </c>
      <c r="E72" s="22"/>
      <c r="F72" s="4">
        <f>ROUND(SUM(F67:F71),2)</f>
        <v>124.83</v>
      </c>
      <c r="G72" s="22"/>
      <c r="H72" s="4">
        <f>ROUND(SUM(H67:H71),2)</f>
        <v>184.32</v>
      </c>
    </row>
    <row r="74" spans="1:9" ht="15" customHeight="1"/>
    <row r="75" spans="1:9" ht="39.950000000000003" customHeight="1">
      <c r="A75" s="135" t="s">
        <v>109</v>
      </c>
      <c r="B75" s="135"/>
      <c r="C75" s="135" t="str">
        <f>$C$19</f>
        <v>Copeiragem</v>
      </c>
      <c r="D75" s="135"/>
      <c r="E75" s="135" t="str">
        <f>$E$19</f>
        <v>Carregador</v>
      </c>
      <c r="F75" s="135"/>
      <c r="G75" s="135" t="str">
        <f>$G$19</f>
        <v>Garçom</v>
      </c>
      <c r="H75" s="135"/>
    </row>
    <row r="76" spans="1:9">
      <c r="A76" s="24" t="s">
        <v>110</v>
      </c>
      <c r="B76" s="24" t="s">
        <v>111</v>
      </c>
      <c r="C76" s="24" t="s">
        <v>59</v>
      </c>
      <c r="D76" s="24" t="s">
        <v>46</v>
      </c>
      <c r="E76" s="24" t="s">
        <v>59</v>
      </c>
      <c r="F76" s="24" t="s">
        <v>46</v>
      </c>
      <c r="G76" s="24" t="s">
        <v>59</v>
      </c>
      <c r="H76" s="24" t="s">
        <v>46</v>
      </c>
      <c r="I76" t="s">
        <v>112</v>
      </c>
    </row>
    <row r="77" spans="1:9">
      <c r="A77" s="24" t="s">
        <v>14</v>
      </c>
      <c r="B77" s="22" t="s">
        <v>113</v>
      </c>
      <c r="C77" s="5">
        <f>12.1%-C31</f>
        <v>9.8888888888888915E-3</v>
      </c>
      <c r="D77" s="3">
        <f t="shared" ref="D77:D82" si="4">C77*($D$25+$D$59+$D$60+$D$72)</f>
        <v>29.409753333333345</v>
      </c>
      <c r="E77" s="5">
        <f>12.1%-E31</f>
        <v>9.8888888888888915E-3</v>
      </c>
      <c r="F77" s="3">
        <f t="shared" ref="F77:F82" si="5">E77*($F$25+$F$59+$F$60+$F$72)</f>
        <v>29.409753333333345</v>
      </c>
      <c r="G77" s="5">
        <f>12.1%-G31</f>
        <v>9.8888888888888915E-3</v>
      </c>
      <c r="H77" s="3">
        <f>G77*($H$25+$H$59+$H$60+$H$72)</f>
        <v>43.420528888888903</v>
      </c>
      <c r="I77" t="s">
        <v>114</v>
      </c>
    </row>
    <row r="78" spans="1:9">
      <c r="A78" s="24" t="s">
        <v>19</v>
      </c>
      <c r="B78" s="22" t="s">
        <v>115</v>
      </c>
      <c r="C78" s="5">
        <f>(5.96/30)/12</f>
        <v>1.6555555555555556E-2</v>
      </c>
      <c r="D78" s="3">
        <f t="shared" si="4"/>
        <v>49.23655333333334</v>
      </c>
      <c r="E78" s="5">
        <f>(5.96/30)/12</f>
        <v>1.6555555555555556E-2</v>
      </c>
      <c r="F78" s="3">
        <f t="shared" si="5"/>
        <v>49.23655333333334</v>
      </c>
      <c r="G78" s="5">
        <f>(5.96/30)/12</f>
        <v>1.6555555555555556E-2</v>
      </c>
      <c r="H78" s="3">
        <f>G78*($H$25+$H$59+$H$60+$H$72)</f>
        <v>72.692795555555563</v>
      </c>
      <c r="I78" t="s">
        <v>116</v>
      </c>
    </row>
    <row r="79" spans="1:9" ht="15" customHeight="1">
      <c r="A79" s="24" t="s">
        <v>22</v>
      </c>
      <c r="B79" s="22" t="s">
        <v>117</v>
      </c>
      <c r="C79" s="5">
        <f>((5/30)/12)*0.015</f>
        <v>2.0833333333333332E-4</v>
      </c>
      <c r="D79" s="3">
        <f t="shared" si="4"/>
        <v>0.61958750000000007</v>
      </c>
      <c r="E79" s="5">
        <f>((5/30)/12)*0.015</f>
        <v>2.0833333333333332E-4</v>
      </c>
      <c r="F79" s="3">
        <f t="shared" si="5"/>
        <v>0.61958750000000007</v>
      </c>
      <c r="G79" s="5">
        <f>((5/30)/12)*0.015</f>
        <v>2.0833333333333332E-4</v>
      </c>
      <c r="H79" s="3">
        <f>G79*($H$25+$H$59+$H$60+$H$72)</f>
        <v>0.91475833333333334</v>
      </c>
      <c r="I79" t="s">
        <v>118</v>
      </c>
    </row>
    <row r="80" spans="1:9" ht="15" customHeight="1">
      <c r="A80" s="27" t="s">
        <v>24</v>
      </c>
      <c r="B80" s="9" t="s">
        <v>119</v>
      </c>
      <c r="C80" s="5">
        <f>(15/360)*0.44%</f>
        <v>1.8333333333333334E-4</v>
      </c>
      <c r="D80" s="3">
        <f t="shared" si="4"/>
        <v>0.54523700000000008</v>
      </c>
      <c r="E80" s="5">
        <f>(15/360)*0.44%</f>
        <v>1.8333333333333334E-4</v>
      </c>
      <c r="F80" s="3">
        <f t="shared" si="5"/>
        <v>0.54523700000000008</v>
      </c>
      <c r="G80" s="5">
        <f>(15/360)*0.44%</f>
        <v>1.8333333333333334E-4</v>
      </c>
      <c r="H80" s="3">
        <f>G80*($H$25+$H$59+$H$60+$H$72)</f>
        <v>0.80498733333333339</v>
      </c>
      <c r="I80" t="s">
        <v>120</v>
      </c>
    </row>
    <row r="81" spans="1:8">
      <c r="A81" s="27" t="s">
        <v>76</v>
      </c>
      <c r="B81" s="9" t="s">
        <v>121</v>
      </c>
      <c r="C81" s="5">
        <f>50%*(4/12)*1.5%*(8.33%+11.11%)</f>
        <v>4.8599999999999989E-4</v>
      </c>
      <c r="D81" s="3">
        <f t="shared" si="4"/>
        <v>1.4453737199999999</v>
      </c>
      <c r="E81" s="5">
        <f>50%*(4/12)*1.5%*(8.33%+11.11%)</f>
        <v>4.8599999999999989E-4</v>
      </c>
      <c r="F81" s="3">
        <f t="shared" si="5"/>
        <v>1.4453737199999999</v>
      </c>
      <c r="G81" s="5">
        <f>50%*(4/12)*1.5%*(8.33%+11.11%)</f>
        <v>4.8599999999999989E-4</v>
      </c>
      <c r="H81" s="3">
        <f>G81*($H$25+$H$59+$H$60+$H$72)</f>
        <v>2.1339482399999996</v>
      </c>
    </row>
    <row r="82" spans="1:8">
      <c r="A82" s="24" t="s">
        <v>79</v>
      </c>
      <c r="B82" s="22" t="s">
        <v>122</v>
      </c>
      <c r="C82" s="6"/>
      <c r="D82" s="3">
        <f t="shared" si="4"/>
        <v>0</v>
      </c>
      <c r="E82" s="6"/>
      <c r="F82" s="3">
        <f t="shared" si="5"/>
        <v>0</v>
      </c>
      <c r="G82" s="3"/>
      <c r="H82" s="3">
        <f>G82*($F$25+$F$59+$F$60+$F$72)</f>
        <v>0</v>
      </c>
    </row>
    <row r="83" spans="1:8">
      <c r="A83" s="136" t="s">
        <v>55</v>
      </c>
      <c r="B83" s="136"/>
      <c r="C83" s="22"/>
      <c r="D83" s="4">
        <f>ROUND(SUM(D77:D82),2)</f>
        <v>81.260000000000005</v>
      </c>
      <c r="E83" s="22"/>
      <c r="F83" s="4">
        <f>ROUND(SUM(F77:F82),2)</f>
        <v>81.260000000000005</v>
      </c>
      <c r="G83" s="22"/>
      <c r="H83" s="4">
        <f>ROUND(SUM(H77:H82),2)</f>
        <v>119.97</v>
      </c>
    </row>
    <row r="85" spans="1:8" ht="15" customHeight="1"/>
    <row r="86" spans="1:8" ht="39.950000000000003" customHeight="1">
      <c r="A86" s="135" t="s">
        <v>123</v>
      </c>
      <c r="B86" s="135"/>
      <c r="C86" s="135" t="str">
        <f>$C$19</f>
        <v>Copeiragem</v>
      </c>
      <c r="D86" s="135"/>
      <c r="E86" s="135" t="str">
        <f>$E$19</f>
        <v>Carregador</v>
      </c>
      <c r="F86" s="135"/>
      <c r="G86" s="135" t="str">
        <f>$G$19</f>
        <v>Garçom</v>
      </c>
      <c r="H86" s="135"/>
    </row>
    <row r="87" spans="1:8">
      <c r="A87" s="24" t="s">
        <v>124</v>
      </c>
      <c r="B87" s="24" t="s">
        <v>125</v>
      </c>
      <c r="C87" s="24"/>
      <c r="D87" s="24" t="s">
        <v>46</v>
      </c>
      <c r="E87" s="24"/>
      <c r="F87" s="24" t="s">
        <v>46</v>
      </c>
      <c r="G87" s="24"/>
      <c r="H87" s="24" t="s">
        <v>46</v>
      </c>
    </row>
    <row r="88" spans="1:8" ht="29.1">
      <c r="A88" s="24" t="s">
        <v>14</v>
      </c>
      <c r="B88" s="9" t="s">
        <v>126</v>
      </c>
      <c r="C88" s="10"/>
      <c r="D88" s="3">
        <v>0</v>
      </c>
      <c r="E88" s="7"/>
      <c r="F88" s="3">
        <v>0</v>
      </c>
      <c r="G88" s="7"/>
      <c r="H88" s="3">
        <v>0</v>
      </c>
    </row>
    <row r="89" spans="1:8">
      <c r="A89" s="136" t="s">
        <v>55</v>
      </c>
      <c r="B89" s="136"/>
      <c r="C89" s="22"/>
      <c r="D89" s="4">
        <f>SUM(D88:D88)</f>
        <v>0</v>
      </c>
      <c r="E89" s="22"/>
      <c r="F89" s="4">
        <f>SUM(F88:F88)</f>
        <v>0</v>
      </c>
      <c r="G89" s="22"/>
      <c r="H89" s="4">
        <f>SUM(H88:H88)</f>
        <v>0</v>
      </c>
    </row>
    <row r="91" spans="1:8" ht="15" customHeight="1"/>
    <row r="92" spans="1:8" ht="39.950000000000003" customHeight="1">
      <c r="A92" s="135" t="s">
        <v>127</v>
      </c>
      <c r="B92" s="135"/>
      <c r="C92" s="135" t="str">
        <f>$C$19</f>
        <v>Copeiragem</v>
      </c>
      <c r="D92" s="135"/>
      <c r="E92" s="135" t="str">
        <f>$E$19</f>
        <v>Carregador</v>
      </c>
      <c r="F92" s="135"/>
      <c r="G92" s="135" t="str">
        <f>$G$19</f>
        <v>Garçom</v>
      </c>
      <c r="H92" s="135"/>
    </row>
    <row r="93" spans="1:8">
      <c r="A93" s="24">
        <v>4</v>
      </c>
      <c r="B93" s="24" t="s">
        <v>128</v>
      </c>
      <c r="C93" s="24"/>
      <c r="D93" s="24" t="s">
        <v>46</v>
      </c>
      <c r="E93" s="24"/>
      <c r="F93" s="24" t="s">
        <v>46</v>
      </c>
      <c r="G93" s="24"/>
      <c r="H93" s="24" t="s">
        <v>46</v>
      </c>
    </row>
    <row r="94" spans="1:8">
      <c r="A94" s="24" t="s">
        <v>110</v>
      </c>
      <c r="B94" s="22" t="s">
        <v>129</v>
      </c>
      <c r="C94" s="6"/>
      <c r="D94" s="23">
        <f>D83</f>
        <v>81.260000000000005</v>
      </c>
      <c r="E94" s="7"/>
      <c r="F94" s="23">
        <f>F83</f>
        <v>81.260000000000005</v>
      </c>
      <c r="G94" s="7"/>
      <c r="H94" s="23">
        <f>H83</f>
        <v>119.97</v>
      </c>
    </row>
    <row r="95" spans="1:8">
      <c r="A95" s="24" t="s">
        <v>124</v>
      </c>
      <c r="B95" s="22" t="s">
        <v>125</v>
      </c>
      <c r="C95" s="6"/>
      <c r="D95" s="23">
        <f>D89</f>
        <v>0</v>
      </c>
      <c r="E95" s="7"/>
      <c r="F95" s="23">
        <f>F89</f>
        <v>0</v>
      </c>
      <c r="G95" s="7"/>
      <c r="H95" s="23">
        <f>H89</f>
        <v>0</v>
      </c>
    </row>
    <row r="96" spans="1:8">
      <c r="A96" s="136" t="s">
        <v>55</v>
      </c>
      <c r="B96" s="136"/>
      <c r="C96" s="22"/>
      <c r="D96" s="4">
        <f>ROUND(SUM(D94:D95),2)</f>
        <v>81.260000000000005</v>
      </c>
      <c r="E96" s="22"/>
      <c r="F96" s="4">
        <f>ROUND(SUM(F94:F95),2)</f>
        <v>81.260000000000005</v>
      </c>
      <c r="G96" s="22"/>
      <c r="H96" s="4">
        <f>ROUND(SUM(H94:H95),2)</f>
        <v>119.97</v>
      </c>
    </row>
    <row r="98" spans="1:9" ht="15" customHeight="1"/>
    <row r="99" spans="1:9" ht="39.950000000000003" customHeight="1">
      <c r="A99" s="135" t="s">
        <v>130</v>
      </c>
      <c r="B99" s="135"/>
      <c r="C99" s="135" t="str">
        <f>$C$19</f>
        <v>Copeiragem</v>
      </c>
      <c r="D99" s="135"/>
      <c r="E99" s="135" t="str">
        <f>$E$19</f>
        <v>Carregador</v>
      </c>
      <c r="F99" s="135"/>
      <c r="G99" s="135" t="str">
        <f>$G$19</f>
        <v>Garçom</v>
      </c>
      <c r="H99" s="135"/>
    </row>
    <row r="100" spans="1:9">
      <c r="A100" s="24">
        <v>5</v>
      </c>
      <c r="B100" s="24" t="s">
        <v>131</v>
      </c>
      <c r="C100" s="24"/>
      <c r="D100" s="24" t="s">
        <v>46</v>
      </c>
      <c r="E100" s="24"/>
      <c r="F100" s="24" t="s">
        <v>46</v>
      </c>
      <c r="G100" s="24"/>
      <c r="H100" s="24" t="s">
        <v>46</v>
      </c>
    </row>
    <row r="101" spans="1:9">
      <c r="A101" s="24" t="s">
        <v>14</v>
      </c>
      <c r="B101" s="22" t="s">
        <v>132</v>
      </c>
      <c r="C101" s="6"/>
      <c r="D101" s="116">
        <f>Uniformes!B10</f>
        <v>97.675000000000011</v>
      </c>
      <c r="E101" s="7"/>
      <c r="F101" s="116">
        <f>'Pesquisa Uniforme Carregador'!K19</f>
        <v>121.8875</v>
      </c>
      <c r="G101" s="7"/>
      <c r="H101" s="116">
        <f>Uniformes!B44</f>
        <v>156.21</v>
      </c>
    </row>
    <row r="102" spans="1:9">
      <c r="A102" s="24" t="s">
        <v>19</v>
      </c>
      <c r="B102" s="22" t="s">
        <v>133</v>
      </c>
      <c r="C102" s="6"/>
      <c r="D102" s="57">
        <f>'Mat_Ins_Copeiragem GRUPO I'!W133</f>
        <v>6414.9177275132242</v>
      </c>
      <c r="E102" s="7"/>
      <c r="F102" s="24"/>
      <c r="G102" s="7"/>
      <c r="H102" s="24"/>
    </row>
    <row r="103" spans="1:9">
      <c r="A103" s="24" t="s">
        <v>22</v>
      </c>
      <c r="B103" s="22" t="s">
        <v>134</v>
      </c>
      <c r="C103" s="6"/>
      <c r="D103" s="24"/>
      <c r="E103" s="7"/>
      <c r="F103" s="24"/>
      <c r="G103" s="7"/>
      <c r="H103" s="24"/>
    </row>
    <row r="104" spans="1:9">
      <c r="A104" s="27" t="s">
        <v>24</v>
      </c>
      <c r="B104" s="9" t="s">
        <v>96</v>
      </c>
      <c r="C104" s="6"/>
      <c r="D104" s="24"/>
      <c r="E104" s="7"/>
      <c r="F104" s="24"/>
      <c r="G104" s="7"/>
      <c r="H104" s="24"/>
    </row>
    <row r="105" spans="1:9">
      <c r="A105" s="136" t="s">
        <v>55</v>
      </c>
      <c r="B105" s="136"/>
      <c r="C105" s="22"/>
      <c r="D105" s="4">
        <f>ROUND(SUM(D101:D104),2)</f>
        <v>6512.59</v>
      </c>
      <c r="E105" s="22"/>
      <c r="F105" s="4">
        <f>ROUND(SUM(F101:F104),2)</f>
        <v>121.89</v>
      </c>
      <c r="G105" s="22"/>
      <c r="H105" s="4">
        <f>ROUND(SUM(H101:H104),2)</f>
        <v>156.21</v>
      </c>
    </row>
    <row r="107" spans="1:9" ht="15" customHeight="1"/>
    <row r="108" spans="1:9" ht="39.950000000000003" customHeight="1">
      <c r="A108" s="135" t="s">
        <v>135</v>
      </c>
      <c r="B108" s="135"/>
      <c r="C108" s="135" t="str">
        <f>$C$19</f>
        <v>Copeiragem</v>
      </c>
      <c r="D108" s="135"/>
      <c r="E108" s="135" t="str">
        <f>$E$19</f>
        <v>Carregador</v>
      </c>
      <c r="F108" s="135"/>
      <c r="G108" s="135" t="str">
        <f>$G$19</f>
        <v>Garçom</v>
      </c>
      <c r="H108" s="135"/>
    </row>
    <row r="109" spans="1:9">
      <c r="A109" s="24">
        <v>6</v>
      </c>
      <c r="B109" s="24" t="s">
        <v>136</v>
      </c>
      <c r="C109" s="24" t="s">
        <v>59</v>
      </c>
      <c r="D109" s="24" t="s">
        <v>46</v>
      </c>
      <c r="E109" s="24" t="s">
        <v>59</v>
      </c>
      <c r="F109" s="24" t="s">
        <v>46</v>
      </c>
      <c r="G109" s="24" t="s">
        <v>59</v>
      </c>
      <c r="H109" s="24" t="s">
        <v>46</v>
      </c>
      <c r="I109" t="s">
        <v>48</v>
      </c>
    </row>
    <row r="110" spans="1:9">
      <c r="A110" s="24" t="s">
        <v>14</v>
      </c>
      <c r="B110" s="22" t="s">
        <v>137</v>
      </c>
      <c r="C110" s="5">
        <v>0.05</v>
      </c>
      <c r="D110" s="23">
        <f>ROUND(D125*C110,2)</f>
        <v>531.23</v>
      </c>
      <c r="E110" s="5">
        <v>0.05</v>
      </c>
      <c r="F110" s="23">
        <f>ROUND(F125*E110,2)</f>
        <v>211.69</v>
      </c>
      <c r="G110" s="5">
        <v>0.05</v>
      </c>
      <c r="H110" s="23">
        <f>ROUND(H125*G110,2)</f>
        <v>286.19</v>
      </c>
      <c r="I110" t="s">
        <v>138</v>
      </c>
    </row>
    <row r="111" spans="1:9">
      <c r="A111" s="24" t="s">
        <v>19</v>
      </c>
      <c r="B111" s="22" t="s">
        <v>139</v>
      </c>
      <c r="C111" s="5">
        <v>0.1</v>
      </c>
      <c r="D111" s="23">
        <f>ROUND((D125+D110)*C111,2)</f>
        <v>1115.58</v>
      </c>
      <c r="E111" s="5">
        <v>0.1</v>
      </c>
      <c r="F111" s="23">
        <f>ROUND((F125+F110)*E111,2)</f>
        <v>444.55</v>
      </c>
      <c r="G111" s="5">
        <v>0.1</v>
      </c>
      <c r="H111" s="23">
        <f>ROUND((H125+H110)*G111,2)</f>
        <v>600.99</v>
      </c>
    </row>
    <row r="112" spans="1:9">
      <c r="A112" s="24" t="s">
        <v>22</v>
      </c>
      <c r="B112" s="22" t="s">
        <v>140</v>
      </c>
      <c r="C112" s="5">
        <f t="shared" ref="C112:H112" si="6">SUM(C113:C115)</f>
        <v>0.14250000000000002</v>
      </c>
      <c r="D112" s="23">
        <f t="shared" si="6"/>
        <v>2039.2699999999998</v>
      </c>
      <c r="E112" s="5">
        <f t="shared" si="6"/>
        <v>0.14250000000000002</v>
      </c>
      <c r="F112" s="23">
        <f t="shared" si="6"/>
        <v>812.65</v>
      </c>
      <c r="G112" s="5">
        <f t="shared" si="6"/>
        <v>0.14250000000000002</v>
      </c>
      <c r="H112" s="23">
        <f t="shared" si="6"/>
        <v>1098.5999999999999</v>
      </c>
      <c r="I112" t="s">
        <v>141</v>
      </c>
    </row>
    <row r="113" spans="1:9">
      <c r="A113" s="27" t="s">
        <v>142</v>
      </c>
      <c r="B113" s="9" t="s">
        <v>143</v>
      </c>
      <c r="C113" s="5">
        <v>1.6500000000000001E-2</v>
      </c>
      <c r="D113" s="23">
        <f>ROUND(C113*D127,2)</f>
        <v>236.13</v>
      </c>
      <c r="E113" s="5">
        <v>1.6500000000000001E-2</v>
      </c>
      <c r="F113" s="23">
        <f>ROUND(E113*F127,2)</f>
        <v>94.1</v>
      </c>
      <c r="G113" s="5">
        <v>1.6500000000000001E-2</v>
      </c>
      <c r="H113" s="23">
        <f>ROUND(G113*H127,2)</f>
        <v>127.21</v>
      </c>
      <c r="I113" t="s">
        <v>144</v>
      </c>
    </row>
    <row r="114" spans="1:9">
      <c r="A114" s="27" t="s">
        <v>145</v>
      </c>
      <c r="B114" s="9" t="s">
        <v>146</v>
      </c>
      <c r="C114" s="5">
        <v>7.5999999999999998E-2</v>
      </c>
      <c r="D114" s="23">
        <f>ROUND(C114*D127,2)</f>
        <v>1087.6099999999999</v>
      </c>
      <c r="E114" s="5">
        <v>7.5999999999999998E-2</v>
      </c>
      <c r="F114" s="23">
        <f>ROUND(E114*F127,2)</f>
        <v>433.41</v>
      </c>
      <c r="G114" s="5">
        <v>7.5999999999999998E-2</v>
      </c>
      <c r="H114" s="23">
        <f>ROUND(G114*H127,2)</f>
        <v>585.91999999999996</v>
      </c>
      <c r="I114" t="s">
        <v>147</v>
      </c>
    </row>
    <row r="115" spans="1:9">
      <c r="A115" s="24" t="s">
        <v>148</v>
      </c>
      <c r="B115" s="22" t="s">
        <v>149</v>
      </c>
      <c r="C115" s="5">
        <v>0.05</v>
      </c>
      <c r="D115" s="23">
        <f>ROUND(C115*D127,2)</f>
        <v>715.53</v>
      </c>
      <c r="E115" s="5">
        <v>0.05</v>
      </c>
      <c r="F115" s="23">
        <f>ROUND(E115*F127,2)</f>
        <v>285.14</v>
      </c>
      <c r="G115" s="5">
        <v>0.05</v>
      </c>
      <c r="H115" s="23">
        <f>ROUND(G115*H127,2)</f>
        <v>385.47</v>
      </c>
    </row>
    <row r="116" spans="1:9">
      <c r="A116" s="136" t="s">
        <v>55</v>
      </c>
      <c r="B116" s="136"/>
      <c r="C116" s="22"/>
      <c r="D116" s="4">
        <f>ROUND(SUM(D110+D111+D112),2)</f>
        <v>3686.08</v>
      </c>
      <c r="E116" s="22"/>
      <c r="F116" s="4">
        <f>ROUND(SUM(F110+F111+F112),2)</f>
        <v>1468.89</v>
      </c>
      <c r="G116" s="22"/>
      <c r="H116" s="4">
        <f>ROUND(SUM(H110+H111+H112),2)</f>
        <v>1985.78</v>
      </c>
    </row>
    <row r="117" spans="1:9" ht="15" customHeight="1">
      <c r="A117" s="28"/>
      <c r="B117" s="28"/>
      <c r="D117" s="11"/>
      <c r="F117" s="11"/>
      <c r="G117" s="11"/>
      <c r="H117" s="11"/>
    </row>
    <row r="118" spans="1:9" ht="39.950000000000003" customHeight="1">
      <c r="A118" s="135" t="s">
        <v>150</v>
      </c>
      <c r="B118" s="135"/>
      <c r="C118" s="135" t="str">
        <f>$C$19</f>
        <v>Copeiragem</v>
      </c>
      <c r="D118" s="135"/>
      <c r="E118" s="135" t="str">
        <f>$E$19</f>
        <v>Carregador</v>
      </c>
      <c r="F118" s="135"/>
      <c r="G118" s="135" t="str">
        <f>$G$19</f>
        <v>Garçom</v>
      </c>
      <c r="H118" s="135"/>
    </row>
    <row r="119" spans="1:9">
      <c r="A119" s="138" t="s">
        <v>151</v>
      </c>
      <c r="B119" s="138"/>
      <c r="C119" s="24" t="s">
        <v>59</v>
      </c>
      <c r="D119" s="24" t="s">
        <v>46</v>
      </c>
      <c r="E119" s="24" t="s">
        <v>59</v>
      </c>
      <c r="F119" s="24" t="s">
        <v>46</v>
      </c>
      <c r="G119" s="24" t="s">
        <v>59</v>
      </c>
      <c r="H119" s="24" t="s">
        <v>46</v>
      </c>
    </row>
    <row r="120" spans="1:9">
      <c r="A120" s="24" t="s">
        <v>14</v>
      </c>
      <c r="B120" s="22" t="s">
        <v>152</v>
      </c>
      <c r="C120" s="7">
        <f>(D120/$D$127)</f>
        <v>0.12184584064032022</v>
      </c>
      <c r="D120" s="23">
        <f>D25</f>
        <v>1743.69</v>
      </c>
      <c r="E120" s="29">
        <f>F120/$F$127</f>
        <v>0.30576414237774763</v>
      </c>
      <c r="F120" s="23">
        <f>F25</f>
        <v>1743.69</v>
      </c>
      <c r="G120" s="29">
        <v>0.31</v>
      </c>
      <c r="H120" s="23">
        <f>H25</f>
        <v>2574.37</v>
      </c>
    </row>
    <row r="121" spans="1:9">
      <c r="A121" s="24" t="s">
        <v>19</v>
      </c>
      <c r="B121" s="22" t="s">
        <v>153</v>
      </c>
      <c r="C121" s="7">
        <f t="shared" ref="C121:C126" si="7">(D121/$D$127)</f>
        <v>0.15108914985788049</v>
      </c>
      <c r="D121" s="23">
        <f>D62</f>
        <v>2162.1800000000003</v>
      </c>
      <c r="E121" s="29">
        <f>F121/$F$127</f>
        <v>0.37914830810884875</v>
      </c>
      <c r="F121" s="23">
        <f>F62</f>
        <v>2162.1800000000003</v>
      </c>
      <c r="G121" s="29">
        <v>0.32</v>
      </c>
      <c r="H121" s="23">
        <f>H62</f>
        <v>2688.83</v>
      </c>
    </row>
    <row r="122" spans="1:9">
      <c r="A122" s="24" t="s">
        <v>22</v>
      </c>
      <c r="B122" s="22" t="s">
        <v>154</v>
      </c>
      <c r="C122" s="7">
        <f t="shared" si="7"/>
        <v>8.7228901279075826E-3</v>
      </c>
      <c r="D122" s="23">
        <f>D72</f>
        <v>124.83</v>
      </c>
      <c r="E122" s="29">
        <f>F122/$F$127</f>
        <v>2.1889520438274142E-2</v>
      </c>
      <c r="F122" s="23">
        <f>F72</f>
        <v>124.83</v>
      </c>
      <c r="G122" s="29">
        <v>0.02</v>
      </c>
      <c r="H122" s="23">
        <f>H72</f>
        <v>184.32</v>
      </c>
    </row>
    <row r="123" spans="1:9">
      <c r="A123" s="27" t="s">
        <v>24</v>
      </c>
      <c r="B123" s="9" t="s">
        <v>155</v>
      </c>
      <c r="C123" s="7">
        <f t="shared" si="7"/>
        <v>5.6782989008553253E-3</v>
      </c>
      <c r="D123" s="23">
        <f>D96</f>
        <v>81.260000000000005</v>
      </c>
      <c r="E123" s="29">
        <f>F123/$F$127</f>
        <v>1.4249318519700046E-2</v>
      </c>
      <c r="F123" s="23">
        <f>F96</f>
        <v>81.260000000000005</v>
      </c>
      <c r="G123" s="29">
        <v>0.01</v>
      </c>
      <c r="H123" s="23">
        <f>H96</f>
        <v>119.97</v>
      </c>
    </row>
    <row r="124" spans="1:9">
      <c r="A124" s="27" t="s">
        <v>76</v>
      </c>
      <c r="B124" s="9" t="s">
        <v>156</v>
      </c>
      <c r="C124" s="7">
        <f t="shared" si="7"/>
        <v>0.45508777551958379</v>
      </c>
      <c r="D124" s="23">
        <f>D105</f>
        <v>6512.59</v>
      </c>
      <c r="E124" s="29">
        <f>F124/$F$127</f>
        <v>2.1373977779550069E-2</v>
      </c>
      <c r="F124" s="23">
        <f>F105</f>
        <v>121.89</v>
      </c>
      <c r="G124" s="29">
        <v>0.02</v>
      </c>
      <c r="H124" s="23">
        <f>H105</f>
        <v>156.21</v>
      </c>
    </row>
    <row r="125" spans="1:9">
      <c r="A125" s="142" t="s">
        <v>157</v>
      </c>
      <c r="B125" s="142"/>
      <c r="C125" s="7"/>
      <c r="D125" s="30">
        <f>ROUND(SUM(D120:D124),2)</f>
        <v>10624.55</v>
      </c>
      <c r="E125" s="29"/>
      <c r="F125" s="30">
        <f>ROUND(SUM(F120:F124),2)</f>
        <v>4233.8500000000004</v>
      </c>
      <c r="G125" s="29"/>
      <c r="H125" s="30">
        <f>ROUND(SUM(H120:H124),2)</f>
        <v>5723.7</v>
      </c>
    </row>
    <row r="126" spans="1:9">
      <c r="A126" s="27" t="s">
        <v>79</v>
      </c>
      <c r="B126" s="31" t="s">
        <v>135</v>
      </c>
      <c r="C126" s="7">
        <f t="shared" si="7"/>
        <v>0.25757647074162926</v>
      </c>
      <c r="D126" s="23">
        <f>D116</f>
        <v>3686.08</v>
      </c>
      <c r="E126" s="29">
        <f>F126/$F$127</f>
        <v>0.25757668570517106</v>
      </c>
      <c r="F126" s="23">
        <f>F116</f>
        <v>1468.89</v>
      </c>
      <c r="G126" s="29">
        <v>0.14000000000000001</v>
      </c>
      <c r="H126" s="23">
        <f>H116</f>
        <v>1985.78</v>
      </c>
    </row>
    <row r="127" spans="1:9">
      <c r="A127" s="142" t="s">
        <v>158</v>
      </c>
      <c r="B127" s="142"/>
      <c r="C127" s="32">
        <f>SUM(C120:C126)</f>
        <v>1.0000004257881767</v>
      </c>
      <c r="D127" s="30">
        <f>(D125+D110+D111)/(1-C112)</f>
        <v>14310.623906705539</v>
      </c>
      <c r="E127" s="29">
        <f>SUM(E120:E126)</f>
        <v>1.0000019529292918</v>
      </c>
      <c r="F127" s="30">
        <f>(F125+F110+F111)/(1-E112)</f>
        <v>5702.7288629737614</v>
      </c>
      <c r="G127" s="29">
        <f>SUM(G120:G126)</f>
        <v>0.82000000000000006</v>
      </c>
      <c r="H127" s="30">
        <f>(H125+H110+H111)/(1-G112)</f>
        <v>7709.4810495626816</v>
      </c>
    </row>
    <row r="128" spans="1:9">
      <c r="D128" s="33">
        <f>D127/D120</f>
        <v>8.2070918034200684</v>
      </c>
      <c r="E128" s="33"/>
      <c r="F128" s="33">
        <f>F127/F120</f>
        <v>3.2704946767910359</v>
      </c>
      <c r="G128" s="33">
        <f>G127/G120</f>
        <v>2.645161290322581</v>
      </c>
      <c r="H128" s="33"/>
    </row>
    <row r="129" spans="1:22" ht="15" customHeight="1">
      <c r="D129" s="33">
        <f>(D127-D120)/D120</f>
        <v>7.2070918034200684</v>
      </c>
      <c r="E129" s="33"/>
      <c r="F129" s="33">
        <f>(F127-F120)/F120</f>
        <v>2.2704946767910359</v>
      </c>
      <c r="G129" s="33">
        <f>(G127-G120)/G120</f>
        <v>1.6451612903225807</v>
      </c>
      <c r="H129" s="33"/>
    </row>
    <row r="130" spans="1:22" ht="39.950000000000003" customHeight="1">
      <c r="A130" s="135" t="s">
        <v>159</v>
      </c>
      <c r="B130" s="135"/>
      <c r="C130" s="135"/>
      <c r="D130" s="135"/>
      <c r="E130" s="135"/>
      <c r="F130" s="135"/>
      <c r="G130" s="135"/>
      <c r="H130" s="135"/>
      <c r="I130" s="135"/>
      <c r="J130" s="135"/>
      <c r="K130" s="135"/>
      <c r="L130" s="135"/>
    </row>
    <row r="131" spans="1:22" ht="34.5" customHeight="1">
      <c r="A131" s="135" t="s">
        <v>160</v>
      </c>
      <c r="B131" s="135"/>
      <c r="C131" s="135" t="s">
        <v>161</v>
      </c>
      <c r="D131" s="135"/>
      <c r="E131" s="135" t="s">
        <v>162</v>
      </c>
      <c r="F131" s="135"/>
      <c r="G131" s="135" t="s">
        <v>163</v>
      </c>
      <c r="H131" s="135"/>
      <c r="I131" s="135" t="s">
        <v>164</v>
      </c>
      <c r="J131" s="135"/>
      <c r="K131" s="135" t="s">
        <v>165</v>
      </c>
      <c r="L131" s="135"/>
    </row>
    <row r="132" spans="1:22" ht="22.5" customHeight="1">
      <c r="A132" s="24" t="s">
        <v>8</v>
      </c>
      <c r="B132" s="34" t="str">
        <f>C19</f>
        <v>Copeiragem</v>
      </c>
      <c r="C132" s="141">
        <f>ROUND(D127,2)</f>
        <v>14310.62</v>
      </c>
      <c r="D132" s="141"/>
      <c r="E132" s="140">
        <v>1</v>
      </c>
      <c r="F132" s="140"/>
      <c r="G132" s="141">
        <f>(C132*E132)</f>
        <v>14310.62</v>
      </c>
      <c r="H132" s="141"/>
      <c r="I132" s="140">
        <v>1</v>
      </c>
      <c r="J132" s="140"/>
      <c r="K132" s="141">
        <f>G132*I132</f>
        <v>14310.62</v>
      </c>
      <c r="L132" s="141"/>
    </row>
    <row r="133" spans="1:22">
      <c r="A133" s="24" t="s">
        <v>166</v>
      </c>
      <c r="B133" s="34" t="str">
        <f>E19</f>
        <v>Carregador</v>
      </c>
      <c r="C133" s="141">
        <f>ROUND(F127,2)</f>
        <v>5702.73</v>
      </c>
      <c r="D133" s="141"/>
      <c r="E133" s="140">
        <v>1</v>
      </c>
      <c r="F133" s="140"/>
      <c r="G133" s="148">
        <f>(C133*E133)</f>
        <v>5702.73</v>
      </c>
      <c r="H133" s="148"/>
      <c r="I133" s="140">
        <v>1</v>
      </c>
      <c r="J133" s="140"/>
      <c r="K133" s="141">
        <f>G133*I133</f>
        <v>5702.73</v>
      </c>
      <c r="L133" s="141"/>
    </row>
    <row r="134" spans="1:22">
      <c r="A134" s="27" t="s">
        <v>167</v>
      </c>
      <c r="B134" s="34" t="str">
        <f>G19</f>
        <v>Garçom</v>
      </c>
      <c r="C134" s="141">
        <f>ROUND(H127,2)</f>
        <v>7709.48</v>
      </c>
      <c r="D134" s="141"/>
      <c r="E134" s="128">
        <v>1</v>
      </c>
      <c r="F134" s="129"/>
      <c r="G134" s="141">
        <f>(C134*E134)</f>
        <v>7709.48</v>
      </c>
      <c r="H134" s="141"/>
      <c r="I134" s="128">
        <v>3</v>
      </c>
      <c r="J134" s="129"/>
      <c r="K134" s="141">
        <f>G134*I134</f>
        <v>23128.44</v>
      </c>
      <c r="L134" s="141"/>
      <c r="N134" s="40"/>
      <c r="O134" s="40"/>
      <c r="P134" s="40"/>
      <c r="Q134" s="40"/>
      <c r="R134" s="40"/>
      <c r="S134" s="40"/>
      <c r="T134" s="40"/>
      <c r="V134" s="40"/>
    </row>
    <row r="135" spans="1:22">
      <c r="A135" s="143" t="s">
        <v>168</v>
      </c>
      <c r="B135" s="143"/>
      <c r="C135" s="138"/>
      <c r="D135" s="138"/>
      <c r="E135" s="138"/>
      <c r="F135" s="138"/>
      <c r="G135" s="138"/>
      <c r="H135" s="138"/>
      <c r="I135" s="140">
        <f>SUM(I132:I134)</f>
        <v>5</v>
      </c>
      <c r="J135" s="140"/>
      <c r="K135" s="144">
        <f>SUM(K132:K134)</f>
        <v>43141.789999999994</v>
      </c>
      <c r="L135" s="144"/>
    </row>
    <row r="136" spans="1:22">
      <c r="A136" s="143" t="s">
        <v>169</v>
      </c>
      <c r="B136" s="143"/>
      <c r="C136" s="138"/>
      <c r="D136" s="138"/>
      <c r="E136" s="138"/>
      <c r="F136" s="138"/>
      <c r="G136" s="138"/>
      <c r="H136" s="138"/>
      <c r="I136" s="138"/>
      <c r="J136" s="138"/>
      <c r="K136" s="144">
        <f>K135*12</f>
        <v>517701.47999999992</v>
      </c>
      <c r="L136" s="144"/>
    </row>
    <row r="137" spans="1:22">
      <c r="A137" s="143" t="s">
        <v>170</v>
      </c>
      <c r="B137" s="143"/>
      <c r="C137" s="138"/>
      <c r="D137" s="138"/>
      <c r="E137" s="138"/>
      <c r="F137" s="138"/>
      <c r="G137" s="138"/>
      <c r="H137" s="138"/>
      <c r="I137" s="138"/>
      <c r="J137" s="138"/>
      <c r="K137" s="144">
        <f>K135*30</f>
        <v>1294253.6999999997</v>
      </c>
      <c r="L137" s="144"/>
    </row>
  </sheetData>
  <mergeCells count="135">
    <mergeCell ref="A137:B137"/>
    <mergeCell ref="C137:J137"/>
    <mergeCell ref="K137:L137"/>
    <mergeCell ref="A1:H1"/>
    <mergeCell ref="A7:H7"/>
    <mergeCell ref="A12:H12"/>
    <mergeCell ref="A135:B135"/>
    <mergeCell ref="C135:H135"/>
    <mergeCell ref="I135:J135"/>
    <mergeCell ref="K135:L135"/>
    <mergeCell ref="A136:B136"/>
    <mergeCell ref="C136:J136"/>
    <mergeCell ref="K136:L136"/>
    <mergeCell ref="C134:D134"/>
    <mergeCell ref="E134:F134"/>
    <mergeCell ref="G134:H134"/>
    <mergeCell ref="I134:J134"/>
    <mergeCell ref="K134:L134"/>
    <mergeCell ref="C133:D133"/>
    <mergeCell ref="E133:F133"/>
    <mergeCell ref="G133:H133"/>
    <mergeCell ref="I133:J133"/>
    <mergeCell ref="K133:L133"/>
    <mergeCell ref="C132:D132"/>
    <mergeCell ref="E132:F132"/>
    <mergeCell ref="G132:H132"/>
    <mergeCell ref="I132:J132"/>
    <mergeCell ref="K132:L132"/>
    <mergeCell ref="A119:B119"/>
    <mergeCell ref="A125:B125"/>
    <mergeCell ref="A127:B127"/>
    <mergeCell ref="A130:L130"/>
    <mergeCell ref="A131:B131"/>
    <mergeCell ref="C131:D131"/>
    <mergeCell ref="E131:F131"/>
    <mergeCell ref="G131:H131"/>
    <mergeCell ref="I131:J131"/>
    <mergeCell ref="K131:L131"/>
    <mergeCell ref="G118:H118"/>
    <mergeCell ref="A116:B116"/>
    <mergeCell ref="A118:B118"/>
    <mergeCell ref="C118:D118"/>
    <mergeCell ref="E118:F118"/>
    <mergeCell ref="G108:H108"/>
    <mergeCell ref="A105:B105"/>
    <mergeCell ref="A108:B108"/>
    <mergeCell ref="C108:D108"/>
    <mergeCell ref="E108:F108"/>
    <mergeCell ref="G99:H99"/>
    <mergeCell ref="A96:B96"/>
    <mergeCell ref="A99:B99"/>
    <mergeCell ref="C99:D99"/>
    <mergeCell ref="E99:F99"/>
    <mergeCell ref="G92:H92"/>
    <mergeCell ref="A89:B89"/>
    <mergeCell ref="A92:B92"/>
    <mergeCell ref="C92:D92"/>
    <mergeCell ref="E92:F92"/>
    <mergeCell ref="G86:H86"/>
    <mergeCell ref="A83:B83"/>
    <mergeCell ref="A86:B86"/>
    <mergeCell ref="C86:D86"/>
    <mergeCell ref="E86:F86"/>
    <mergeCell ref="G75:H75"/>
    <mergeCell ref="G65:H65"/>
    <mergeCell ref="A72:B72"/>
    <mergeCell ref="A75:B75"/>
    <mergeCell ref="C75:D75"/>
    <mergeCell ref="E75:F75"/>
    <mergeCell ref="A62:B62"/>
    <mergeCell ref="A65:B65"/>
    <mergeCell ref="C65:D65"/>
    <mergeCell ref="E65:F65"/>
    <mergeCell ref="E57:F57"/>
    <mergeCell ref="G57:H57"/>
    <mergeCell ref="A51:A52"/>
    <mergeCell ref="B51:B52"/>
    <mergeCell ref="A54:B54"/>
    <mergeCell ref="A57:B57"/>
    <mergeCell ref="C57:D57"/>
    <mergeCell ref="G48:H48"/>
    <mergeCell ref="A45:B45"/>
    <mergeCell ref="A48:B48"/>
    <mergeCell ref="C48:D48"/>
    <mergeCell ref="E48:F48"/>
    <mergeCell ref="G35:H35"/>
    <mergeCell ref="A32:B32"/>
    <mergeCell ref="A35:B35"/>
    <mergeCell ref="C35:D35"/>
    <mergeCell ref="E35:F35"/>
    <mergeCell ref="G28:H28"/>
    <mergeCell ref="G19:H19"/>
    <mergeCell ref="A25:B25"/>
    <mergeCell ref="A28:B28"/>
    <mergeCell ref="C28:D28"/>
    <mergeCell ref="E28:F28"/>
    <mergeCell ref="A19:B19"/>
    <mergeCell ref="C19:D19"/>
    <mergeCell ref="E19:F19"/>
    <mergeCell ref="C17:D17"/>
    <mergeCell ref="E17:F17"/>
    <mergeCell ref="G17:H17"/>
    <mergeCell ref="C16:D16"/>
    <mergeCell ref="E16:F16"/>
    <mergeCell ref="G16:H16"/>
    <mergeCell ref="C15:D15"/>
    <mergeCell ref="E15:F15"/>
    <mergeCell ref="G15:H15"/>
    <mergeCell ref="C14:D14"/>
    <mergeCell ref="E14:F14"/>
    <mergeCell ref="G14:H14"/>
    <mergeCell ref="C13:D13"/>
    <mergeCell ref="E13:F13"/>
    <mergeCell ref="G13:H13"/>
    <mergeCell ref="C10:D10"/>
    <mergeCell ref="E10:F10"/>
    <mergeCell ref="G10:H10"/>
    <mergeCell ref="C9:D9"/>
    <mergeCell ref="E9:F9"/>
    <mergeCell ref="G9:H9"/>
    <mergeCell ref="C8:D8"/>
    <mergeCell ref="E8:F8"/>
    <mergeCell ref="G8:H8"/>
    <mergeCell ref="C5:D5"/>
    <mergeCell ref="E5:F5"/>
    <mergeCell ref="G5:H5"/>
    <mergeCell ref="C4:D4"/>
    <mergeCell ref="E4:F4"/>
    <mergeCell ref="G4:H4"/>
    <mergeCell ref="C3:D3"/>
    <mergeCell ref="E3:F3"/>
    <mergeCell ref="G3:H3"/>
    <mergeCell ref="C2:D2"/>
    <mergeCell ref="E2:F2"/>
    <mergeCell ref="G2:H2"/>
  </mergeCells>
  <pageMargins left="0.51180555555555496" right="0.51180555555555496" top="0.78749999999999998" bottom="0.78749999999999998" header="0.51180555555555496" footer="0.51180555555555496"/>
  <pageSetup paperSize="9" scale="18"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0C2C15-AF80-4FCA-B164-7FD919787A08}">
  <sheetPr>
    <tabColor rgb="FF0070C0"/>
    <pageSetUpPr fitToPage="1"/>
  </sheetPr>
  <dimension ref="A1:W134"/>
  <sheetViews>
    <sheetView tabSelected="1" zoomScale="70" zoomScaleNormal="70" workbookViewId="0">
      <pane xSplit="1" ySplit="6" topLeftCell="B7" activePane="bottomRight" state="frozen"/>
      <selection pane="bottomRight" activeCell="O8" sqref="O8"/>
      <selection pane="bottomLeft"/>
      <selection pane="topRight"/>
    </sheetView>
  </sheetViews>
  <sheetFormatPr defaultRowHeight="14.45"/>
  <cols>
    <col min="1" max="1" width="7.140625" customWidth="1"/>
    <col min="2" max="2" width="20.42578125" style="56" bestFit="1" customWidth="1"/>
    <col min="3" max="3" width="9.42578125" bestFit="1" customWidth="1"/>
    <col min="4" max="4" width="10.85546875" bestFit="1" customWidth="1"/>
    <col min="5" max="5" width="10.7109375" customWidth="1"/>
    <col min="6" max="6" width="10.5703125" customWidth="1"/>
    <col min="7" max="7" width="12.42578125" customWidth="1"/>
    <col min="8" max="8" width="13" customWidth="1"/>
    <col min="9" max="9" width="12.5703125" customWidth="1"/>
    <col min="10" max="10" width="13.140625" customWidth="1"/>
    <col min="11" max="11" width="13.5703125" customWidth="1"/>
    <col min="12" max="12" width="15.7109375" customWidth="1"/>
    <col min="13" max="13" width="12.7109375" bestFit="1" customWidth="1"/>
    <col min="14" max="14" width="15.28515625" customWidth="1"/>
    <col min="15" max="15" width="11.42578125" bestFit="1" customWidth="1"/>
    <col min="16" max="16" width="16.140625" customWidth="1"/>
    <col min="17" max="17" width="13.140625" bestFit="1" customWidth="1"/>
    <col min="18" max="18" width="13.85546875" customWidth="1"/>
    <col min="19" max="19" width="13.5703125" customWidth="1"/>
    <col min="20" max="21" width="15.140625" customWidth="1"/>
    <col min="22" max="22" width="26.7109375" customWidth="1"/>
    <col min="23" max="23" width="14.28515625" customWidth="1"/>
  </cols>
  <sheetData>
    <row r="1" spans="1:23" ht="15" thickBot="1">
      <c r="A1" s="149"/>
      <c r="B1" s="149"/>
      <c r="C1" s="149"/>
      <c r="D1" s="149"/>
      <c r="E1" s="149"/>
      <c r="F1" s="149"/>
      <c r="G1" s="149"/>
      <c r="H1" s="149"/>
      <c r="I1" s="149"/>
      <c r="J1" s="149"/>
      <c r="K1" s="149"/>
      <c r="L1" s="149"/>
      <c r="M1" s="149"/>
      <c r="N1" s="149"/>
      <c r="O1" s="149"/>
      <c r="P1" s="149"/>
      <c r="Q1" s="149"/>
      <c r="R1" s="149"/>
      <c r="S1" s="149"/>
      <c r="T1" s="149"/>
      <c r="U1" s="150"/>
    </row>
    <row r="2" spans="1:23" ht="15" thickBot="1">
      <c r="A2" s="43"/>
      <c r="B2" s="55"/>
      <c r="C2" s="43"/>
      <c r="D2" s="43"/>
      <c r="E2" s="43"/>
      <c r="F2" s="43"/>
      <c r="G2" s="43"/>
      <c r="H2" s="43"/>
      <c r="I2" s="43"/>
      <c r="J2" s="43"/>
      <c r="K2" s="43"/>
      <c r="L2" s="43"/>
      <c r="M2" s="43"/>
      <c r="N2" s="43"/>
      <c r="O2" s="43"/>
      <c r="P2" s="43"/>
      <c r="Q2" s="43"/>
      <c r="R2" s="43"/>
      <c r="S2" s="43"/>
      <c r="T2" s="43"/>
      <c r="U2" s="43"/>
    </row>
    <row r="3" spans="1:23" ht="14.45" customHeight="1">
      <c r="A3" s="151" t="s">
        <v>171</v>
      </c>
      <c r="B3" s="153" t="s">
        <v>172</v>
      </c>
      <c r="C3" s="155" t="s">
        <v>173</v>
      </c>
      <c r="D3" s="151" t="s">
        <v>174</v>
      </c>
      <c r="E3" s="157" t="s">
        <v>175</v>
      </c>
      <c r="F3" s="157"/>
      <c r="G3" s="157"/>
      <c r="H3" s="157"/>
      <c r="I3" s="157"/>
      <c r="J3" s="157"/>
      <c r="K3" s="157"/>
      <c r="L3" s="157"/>
      <c r="M3" s="157"/>
      <c r="N3" s="157"/>
      <c r="O3" s="157"/>
      <c r="P3" s="62"/>
      <c r="Q3" s="151" t="s">
        <v>176</v>
      </c>
      <c r="R3" s="151"/>
      <c r="S3" s="151"/>
      <c r="T3" s="151"/>
      <c r="U3" s="159" t="s">
        <v>177</v>
      </c>
      <c r="V3" s="159" t="s">
        <v>178</v>
      </c>
      <c r="W3" s="159" t="s">
        <v>179</v>
      </c>
    </row>
    <row r="4" spans="1:23">
      <c r="A4" s="152"/>
      <c r="B4" s="154"/>
      <c r="C4" s="156"/>
      <c r="D4" s="152"/>
      <c r="E4" s="158"/>
      <c r="F4" s="158"/>
      <c r="G4" s="158"/>
      <c r="H4" s="158"/>
      <c r="I4" s="158"/>
      <c r="J4" s="158"/>
      <c r="K4" s="158"/>
      <c r="L4" s="158"/>
      <c r="M4" s="158"/>
      <c r="N4" s="158"/>
      <c r="O4" s="158"/>
      <c r="P4" s="63"/>
      <c r="Q4" s="152"/>
      <c r="R4" s="152"/>
      <c r="S4" s="152"/>
      <c r="T4" s="152"/>
      <c r="U4" s="160"/>
      <c r="V4" s="160"/>
      <c r="W4" s="160"/>
    </row>
    <row r="5" spans="1:23" ht="60.75" customHeight="1">
      <c r="A5" s="152"/>
      <c r="B5" s="154"/>
      <c r="C5" s="156"/>
      <c r="D5" s="152"/>
      <c r="E5" s="167" t="s">
        <v>180</v>
      </c>
      <c r="F5" s="167"/>
      <c r="G5" s="167"/>
      <c r="H5" s="167"/>
      <c r="I5" s="167"/>
      <c r="J5" s="168"/>
      <c r="K5" s="169" t="s">
        <v>181</v>
      </c>
      <c r="L5" s="170"/>
      <c r="M5" s="170"/>
      <c r="N5" s="170"/>
      <c r="O5" s="170"/>
      <c r="P5" s="170"/>
      <c r="Q5" s="171" t="s">
        <v>182</v>
      </c>
      <c r="R5" s="171"/>
      <c r="S5" s="171"/>
      <c r="T5" s="171"/>
      <c r="U5" s="160"/>
      <c r="V5" s="160"/>
      <c r="W5" s="160"/>
    </row>
    <row r="6" spans="1:23" ht="92.25" customHeight="1">
      <c r="A6" s="152"/>
      <c r="B6" s="154"/>
      <c r="C6" s="156"/>
      <c r="D6" s="152"/>
      <c r="E6" s="65" t="s">
        <v>183</v>
      </c>
      <c r="F6" s="45" t="s">
        <v>184</v>
      </c>
      <c r="G6" s="44" t="s">
        <v>183</v>
      </c>
      <c r="H6" s="44" t="s">
        <v>184</v>
      </c>
      <c r="I6" s="45" t="s">
        <v>183</v>
      </c>
      <c r="J6" s="45" t="s">
        <v>184</v>
      </c>
      <c r="K6" s="44" t="s">
        <v>183</v>
      </c>
      <c r="L6" s="44" t="s">
        <v>184</v>
      </c>
      <c r="M6" s="45" t="s">
        <v>183</v>
      </c>
      <c r="N6" s="45" t="s">
        <v>184</v>
      </c>
      <c r="O6" s="46" t="s">
        <v>183</v>
      </c>
      <c r="P6" s="46" t="s">
        <v>184</v>
      </c>
      <c r="Q6" s="47" t="s">
        <v>185</v>
      </c>
      <c r="R6" s="48" t="s">
        <v>186</v>
      </c>
      <c r="S6" s="48" t="s">
        <v>187</v>
      </c>
      <c r="T6" s="48" t="s">
        <v>188</v>
      </c>
      <c r="U6" s="160"/>
      <c r="V6" s="160"/>
      <c r="W6" s="160"/>
    </row>
    <row r="7" spans="1:23" ht="24.75" customHeight="1">
      <c r="A7" s="67"/>
      <c r="B7" s="68"/>
      <c r="C7" s="68"/>
      <c r="D7" s="68"/>
      <c r="E7" s="178"/>
      <c r="F7" s="179"/>
      <c r="G7" s="183"/>
      <c r="H7" s="184"/>
      <c r="I7" s="200"/>
      <c r="J7" s="201"/>
      <c r="K7" s="185" t="s">
        <v>189</v>
      </c>
      <c r="L7" s="186"/>
      <c r="M7" s="217" t="s">
        <v>190</v>
      </c>
      <c r="N7" s="218"/>
      <c r="O7" s="219" t="s">
        <v>191</v>
      </c>
      <c r="P7" s="220"/>
      <c r="Q7" s="81"/>
      <c r="R7" s="51"/>
      <c r="S7" s="54"/>
      <c r="T7" s="52"/>
      <c r="U7" s="66"/>
      <c r="V7" s="66"/>
      <c r="W7" s="66"/>
    </row>
    <row r="8" spans="1:23" ht="252.75" customHeight="1">
      <c r="A8" s="53">
        <v>1</v>
      </c>
      <c r="B8" s="68" t="s">
        <v>192</v>
      </c>
      <c r="C8" s="68" t="s">
        <v>193</v>
      </c>
      <c r="D8" s="68">
        <v>4</v>
      </c>
      <c r="E8" s="50"/>
      <c r="F8" s="50"/>
      <c r="G8" s="49"/>
      <c r="H8" s="49"/>
      <c r="I8" s="71"/>
      <c r="J8" s="71"/>
      <c r="K8" s="49">
        <v>20.69</v>
      </c>
      <c r="L8" s="49">
        <f>K8*4</f>
        <v>82.76</v>
      </c>
      <c r="M8" s="50">
        <v>17.79</v>
      </c>
      <c r="N8" s="50">
        <f>M8*4</f>
        <v>71.16</v>
      </c>
      <c r="O8" s="49">
        <v>19.59</v>
      </c>
      <c r="P8" s="64">
        <f>O8*4</f>
        <v>78.36</v>
      </c>
      <c r="Q8" s="81">
        <f>_xlfn.STDEV.S(L8,N8,P8)</f>
        <v>5.8560510015994041</v>
      </c>
      <c r="R8" s="81">
        <f>AVERAGE(L8,N8,P8)</f>
        <v>77.426666666666677</v>
      </c>
      <c r="S8" s="54">
        <f t="shared" ref="S8:S16" si="0">SUM(Q8,R8)</f>
        <v>83.282717668266088</v>
      </c>
      <c r="T8" s="52">
        <f t="shared" ref="T8:T16" si="1">R8-Q8</f>
        <v>71.570615665067265</v>
      </c>
      <c r="U8" s="79">
        <f t="shared" ref="U8:U84" si="2">R8</f>
        <v>77.426666666666677</v>
      </c>
      <c r="V8" s="78">
        <v>12</v>
      </c>
      <c r="W8" s="79">
        <f>V8*U8</f>
        <v>929.12000000000012</v>
      </c>
    </row>
    <row r="9" spans="1:23" ht="15" customHeight="1">
      <c r="A9" s="53"/>
      <c r="B9" s="68"/>
      <c r="C9" s="68"/>
      <c r="D9" s="68"/>
      <c r="E9" s="178"/>
      <c r="F9" s="179"/>
      <c r="G9" s="183"/>
      <c r="H9" s="184"/>
      <c r="I9" s="200"/>
      <c r="J9" s="201"/>
      <c r="K9" s="185" t="s">
        <v>189</v>
      </c>
      <c r="L9" s="186"/>
      <c r="M9" s="187" t="s">
        <v>194</v>
      </c>
      <c r="N9" s="188"/>
      <c r="O9" s="185" t="s">
        <v>195</v>
      </c>
      <c r="P9" s="186"/>
      <c r="Q9" s="81"/>
      <c r="R9" s="81"/>
      <c r="S9" s="54"/>
      <c r="T9" s="52"/>
      <c r="U9" s="79"/>
      <c r="V9" s="78"/>
      <c r="W9" s="79"/>
    </row>
    <row r="10" spans="1:23" ht="229.5">
      <c r="A10" s="53">
        <v>2</v>
      </c>
      <c r="B10" s="68" t="s">
        <v>196</v>
      </c>
      <c r="C10" s="68" t="s">
        <v>197</v>
      </c>
      <c r="D10" s="68">
        <v>2</v>
      </c>
      <c r="E10" s="50"/>
      <c r="F10" s="50"/>
      <c r="G10" s="49"/>
      <c r="H10" s="49"/>
      <c r="I10" s="71"/>
      <c r="J10" s="71"/>
      <c r="K10" s="49">
        <v>4.3899999999999997</v>
      </c>
      <c r="L10" s="49">
        <v>8.7799999999999994</v>
      </c>
      <c r="M10" s="50">
        <v>3.99</v>
      </c>
      <c r="N10" s="50">
        <v>7.98</v>
      </c>
      <c r="O10" s="49">
        <v>4.99</v>
      </c>
      <c r="P10" s="64">
        <v>9.98</v>
      </c>
      <c r="Q10" s="81">
        <f t="shared" ref="Q9:Q18" si="3">_xlfn.STDEV.S(L10,N10,P10)</f>
        <v>1.0066445913694335</v>
      </c>
      <c r="R10" s="81">
        <f t="shared" ref="R9:R16" si="4">AVERAGE(L10,N10,P10)</f>
        <v>8.9133333333333322</v>
      </c>
      <c r="S10" s="81">
        <f t="shared" ref="R9:S14" si="5">_xlfn.STDEV.S(N10,P10,R10)</f>
        <v>1.0007404665953512</v>
      </c>
      <c r="T10" s="52">
        <f t="shared" si="1"/>
        <v>7.9066887419638991</v>
      </c>
      <c r="U10" s="79">
        <f t="shared" si="2"/>
        <v>8.9133333333333322</v>
      </c>
      <c r="V10" s="78">
        <v>12</v>
      </c>
      <c r="W10" s="79">
        <f t="shared" ref="W10:W56" si="6">V10*U10</f>
        <v>106.95999999999998</v>
      </c>
    </row>
    <row r="11" spans="1:23" ht="15" customHeight="1">
      <c r="A11" s="53"/>
      <c r="B11" s="68"/>
      <c r="C11" s="68"/>
      <c r="D11" s="68"/>
      <c r="E11" s="178"/>
      <c r="F11" s="179"/>
      <c r="G11" s="183"/>
      <c r="H11" s="184"/>
      <c r="I11" s="182"/>
      <c r="J11" s="179"/>
      <c r="K11" s="185" t="s">
        <v>189</v>
      </c>
      <c r="L11" s="186"/>
      <c r="M11" s="187" t="s">
        <v>198</v>
      </c>
      <c r="N11" s="188"/>
      <c r="O11" s="185" t="s">
        <v>199</v>
      </c>
      <c r="P11" s="186"/>
      <c r="Q11" s="81"/>
      <c r="R11" s="81"/>
      <c r="S11" s="54"/>
      <c r="T11" s="52"/>
      <c r="U11" s="79"/>
      <c r="V11" s="78"/>
      <c r="W11" s="79"/>
    </row>
    <row r="12" spans="1:23" ht="244.5">
      <c r="A12" s="53">
        <v>3</v>
      </c>
      <c r="B12" s="68" t="s">
        <v>200</v>
      </c>
      <c r="C12" s="68" t="s">
        <v>201</v>
      </c>
      <c r="D12" s="68">
        <v>9</v>
      </c>
      <c r="E12" s="50"/>
      <c r="F12" s="50"/>
      <c r="G12" s="49"/>
      <c r="H12" s="49"/>
      <c r="I12" s="50"/>
      <c r="J12" s="50"/>
      <c r="K12" s="49">
        <v>7.99</v>
      </c>
      <c r="L12" s="49">
        <f>K12*9</f>
        <v>71.91</v>
      </c>
      <c r="M12" s="50">
        <v>9.94</v>
      </c>
      <c r="N12" s="50">
        <f>M12*9</f>
        <v>89.46</v>
      </c>
      <c r="O12" s="49">
        <v>8.99</v>
      </c>
      <c r="P12" s="64">
        <f>O12*9</f>
        <v>80.91</v>
      </c>
      <c r="Q12" s="81">
        <f t="shared" si="3"/>
        <v>8.7759614857860431</v>
      </c>
      <c r="R12" s="81">
        <f t="shared" si="4"/>
        <v>80.760000000000005</v>
      </c>
      <c r="S12" s="54">
        <f t="shared" si="0"/>
        <v>89.535961485786046</v>
      </c>
      <c r="T12" s="52">
        <f t="shared" si="1"/>
        <v>71.984038514213964</v>
      </c>
      <c r="U12" s="79">
        <f t="shared" si="2"/>
        <v>80.760000000000005</v>
      </c>
      <c r="V12" s="78">
        <v>12</v>
      </c>
      <c r="W12" s="79">
        <f t="shared" si="6"/>
        <v>969.12000000000012</v>
      </c>
    </row>
    <row r="13" spans="1:23" ht="51" customHeight="1">
      <c r="A13" s="53"/>
      <c r="B13" s="68"/>
      <c r="C13" s="68"/>
      <c r="D13" s="68"/>
      <c r="E13" s="178"/>
      <c r="F13" s="179"/>
      <c r="G13" s="183"/>
      <c r="H13" s="184"/>
      <c r="I13" s="182"/>
      <c r="J13" s="179"/>
      <c r="K13" s="185" t="s">
        <v>189</v>
      </c>
      <c r="L13" s="186"/>
      <c r="M13" s="187" t="s">
        <v>202</v>
      </c>
      <c r="N13" s="188"/>
      <c r="O13" s="185" t="s">
        <v>194</v>
      </c>
      <c r="P13" s="186"/>
      <c r="Q13" s="81"/>
      <c r="R13" s="81"/>
      <c r="S13" s="54"/>
      <c r="T13" s="52"/>
      <c r="U13" s="79"/>
      <c r="V13" s="78"/>
      <c r="W13" s="79"/>
    </row>
    <row r="14" spans="1:23" ht="121.5">
      <c r="A14" s="53">
        <v>4</v>
      </c>
      <c r="B14" s="107" t="s">
        <v>203</v>
      </c>
      <c r="C14" s="68" t="s">
        <v>204</v>
      </c>
      <c r="D14" s="68">
        <v>80</v>
      </c>
      <c r="E14" s="50"/>
      <c r="F14" s="50"/>
      <c r="G14" s="49"/>
      <c r="H14" s="49"/>
      <c r="I14" s="50"/>
      <c r="J14" s="50"/>
      <c r="K14" s="49">
        <v>42.59</v>
      </c>
      <c r="L14" s="49">
        <f>K14*80</f>
        <v>3407.2000000000003</v>
      </c>
      <c r="M14" s="50">
        <v>40.99</v>
      </c>
      <c r="N14" s="50">
        <f>M14*80</f>
        <v>3279.2000000000003</v>
      </c>
      <c r="O14" s="49">
        <v>36.9</v>
      </c>
      <c r="P14" s="64">
        <f>O14*80</f>
        <v>2952</v>
      </c>
      <c r="Q14" s="81">
        <f t="shared" si="3"/>
        <v>234.75195419846895</v>
      </c>
      <c r="R14" s="81">
        <f t="shared" si="4"/>
        <v>3212.8000000000006</v>
      </c>
      <c r="S14" s="54">
        <f t="shared" si="0"/>
        <v>3447.5519541984695</v>
      </c>
      <c r="T14" s="52">
        <f t="shared" si="1"/>
        <v>2978.0480458015318</v>
      </c>
      <c r="U14" s="79">
        <f t="shared" si="2"/>
        <v>3212.8000000000006</v>
      </c>
      <c r="V14" s="78">
        <v>12</v>
      </c>
      <c r="W14" s="79">
        <f t="shared" si="6"/>
        <v>38553.600000000006</v>
      </c>
    </row>
    <row r="15" spans="1:23" ht="15" customHeight="1">
      <c r="A15" s="53"/>
      <c r="B15" s="68"/>
      <c r="C15" s="68"/>
      <c r="D15" s="68"/>
      <c r="E15" s="178"/>
      <c r="F15" s="179"/>
      <c r="G15" s="183"/>
      <c r="H15" s="184"/>
      <c r="I15" s="176"/>
      <c r="J15" s="177"/>
      <c r="K15" s="185" t="s">
        <v>189</v>
      </c>
      <c r="L15" s="186"/>
      <c r="M15" s="187" t="s">
        <v>205</v>
      </c>
      <c r="N15" s="188"/>
      <c r="O15" s="185" t="s">
        <v>206</v>
      </c>
      <c r="P15" s="186"/>
      <c r="Q15" s="81"/>
      <c r="R15" s="81"/>
      <c r="S15" s="54"/>
      <c r="T15" s="52"/>
      <c r="U15" s="79"/>
      <c r="V15" s="78"/>
      <c r="W15" s="79"/>
    </row>
    <row r="16" spans="1:23" ht="137.25">
      <c r="A16" s="53">
        <v>5</v>
      </c>
      <c r="B16" s="68" t="s">
        <v>207</v>
      </c>
      <c r="C16" s="68" t="s">
        <v>208</v>
      </c>
      <c r="D16" s="68">
        <v>25</v>
      </c>
      <c r="E16" s="50"/>
      <c r="F16" s="50"/>
      <c r="G16" s="49"/>
      <c r="H16" s="49"/>
      <c r="I16" s="50"/>
      <c r="J16" s="50"/>
      <c r="K16" s="49">
        <v>4.29</v>
      </c>
      <c r="L16" s="49">
        <v>107.25</v>
      </c>
      <c r="M16" s="50">
        <v>4.9000000000000004</v>
      </c>
      <c r="N16" s="50">
        <v>122.5</v>
      </c>
      <c r="O16" s="49">
        <v>6.49</v>
      </c>
      <c r="P16" s="64">
        <v>162.25</v>
      </c>
      <c r="Q16" s="81">
        <f t="shared" si="3"/>
        <v>28.39490858117582</v>
      </c>
      <c r="R16" s="81">
        <f t="shared" si="4"/>
        <v>130.66666666666666</v>
      </c>
      <c r="S16" s="54">
        <f t="shared" si="0"/>
        <v>159.06157524784248</v>
      </c>
      <c r="T16" s="52">
        <f t="shared" si="1"/>
        <v>102.27175808549083</v>
      </c>
      <c r="U16" s="79">
        <f t="shared" si="2"/>
        <v>130.66666666666666</v>
      </c>
      <c r="V16" s="78">
        <v>12</v>
      </c>
      <c r="W16" s="79">
        <f t="shared" si="6"/>
        <v>1568</v>
      </c>
    </row>
    <row r="17" spans="1:23" ht="15" customHeight="1">
      <c r="A17" s="53"/>
      <c r="B17" s="68"/>
      <c r="C17" s="68"/>
      <c r="D17" s="68"/>
      <c r="E17" s="178"/>
      <c r="F17" s="179"/>
      <c r="G17" s="183"/>
      <c r="H17" s="184"/>
      <c r="I17" s="182"/>
      <c r="J17" s="179"/>
      <c r="K17" s="185" t="s">
        <v>209</v>
      </c>
      <c r="L17" s="186"/>
      <c r="M17" s="187" t="s">
        <v>210</v>
      </c>
      <c r="N17" s="188"/>
      <c r="O17" s="185" t="s">
        <v>211</v>
      </c>
      <c r="P17" s="186"/>
      <c r="Q17" s="81"/>
      <c r="R17" s="229"/>
      <c r="S17" s="54"/>
      <c r="T17" s="52"/>
      <c r="U17" s="79"/>
      <c r="V17" s="78"/>
      <c r="W17" s="79"/>
    </row>
    <row r="18" spans="1:23" ht="259.5">
      <c r="A18" s="53">
        <v>6</v>
      </c>
      <c r="B18" s="68" t="s">
        <v>212</v>
      </c>
      <c r="C18" s="68" t="s">
        <v>201</v>
      </c>
      <c r="D18" s="68">
        <v>80</v>
      </c>
      <c r="E18" s="50"/>
      <c r="F18" s="50"/>
      <c r="G18" s="49"/>
      <c r="H18" s="49"/>
      <c r="I18" s="50"/>
      <c r="J18" s="50"/>
      <c r="K18" s="49">
        <v>16.63</v>
      </c>
      <c r="L18" s="49">
        <f>K18*80</f>
        <v>1330.3999999999999</v>
      </c>
      <c r="M18" s="50">
        <v>21.98</v>
      </c>
      <c r="N18" s="50">
        <f>M18*80</f>
        <v>1758.4</v>
      </c>
      <c r="O18" s="49">
        <v>18.989999999999998</v>
      </c>
      <c r="P18" s="64">
        <f>O18*80</f>
        <v>1519.1999999999998</v>
      </c>
      <c r="Q18" s="81">
        <f t="shared" si="3"/>
        <v>214.49400924035191</v>
      </c>
      <c r="R18" s="229">
        <f>AVERAGE(L18,N18,P18)</f>
        <v>1536</v>
      </c>
      <c r="S18" s="54">
        <f>SUM(Q18,R18)</f>
        <v>1750.4940092403519</v>
      </c>
      <c r="T18" s="52">
        <f t="shared" ref="T18:T80" si="7">R18-Q18</f>
        <v>1321.5059907596481</v>
      </c>
      <c r="U18" s="79">
        <f t="shared" si="2"/>
        <v>1536</v>
      </c>
      <c r="V18" s="78">
        <v>12</v>
      </c>
      <c r="W18" s="79">
        <f t="shared" si="6"/>
        <v>18432</v>
      </c>
    </row>
    <row r="19" spans="1:23" ht="15" customHeight="1">
      <c r="A19" s="53"/>
      <c r="B19" s="68"/>
      <c r="C19" s="68"/>
      <c r="D19" s="68"/>
      <c r="E19" s="178"/>
      <c r="F19" s="179"/>
      <c r="G19" s="183"/>
      <c r="H19" s="184"/>
      <c r="I19" s="182"/>
      <c r="J19" s="179"/>
      <c r="K19" s="185" t="s">
        <v>189</v>
      </c>
      <c r="L19" s="186"/>
      <c r="M19" s="187" t="s">
        <v>194</v>
      </c>
      <c r="N19" s="188"/>
      <c r="O19" s="185" t="s">
        <v>190</v>
      </c>
      <c r="P19" s="186"/>
      <c r="Q19" s="81"/>
      <c r="R19" s="229"/>
      <c r="S19" s="54"/>
      <c r="T19" s="52"/>
      <c r="U19" s="79"/>
      <c r="V19" s="78"/>
      <c r="W19" s="79"/>
    </row>
    <row r="20" spans="1:23" ht="244.5">
      <c r="A20" s="53">
        <v>7</v>
      </c>
      <c r="B20" s="68" t="s">
        <v>213</v>
      </c>
      <c r="C20" s="68" t="s">
        <v>201</v>
      </c>
      <c r="D20" s="68">
        <v>50</v>
      </c>
      <c r="E20" s="50"/>
      <c r="F20" s="50"/>
      <c r="G20" s="49"/>
      <c r="H20" s="49"/>
      <c r="I20" s="50"/>
      <c r="J20" s="50"/>
      <c r="K20" s="49">
        <v>1.99</v>
      </c>
      <c r="L20" s="49">
        <f>K20*50</f>
        <v>99.5</v>
      </c>
      <c r="M20" s="50">
        <v>1.55</v>
      </c>
      <c r="N20" s="50">
        <f>M20*50</f>
        <v>77.5</v>
      </c>
      <c r="O20" s="49">
        <v>1.89</v>
      </c>
      <c r="P20" s="64">
        <f>O20*50</f>
        <v>94.5</v>
      </c>
      <c r="Q20" s="81">
        <f>_xlfn.STDEV.S(L20,N20,P20)</f>
        <v>11.532562594670797</v>
      </c>
      <c r="R20" s="229">
        <f>AVERAGE(L20,N20,P20)</f>
        <v>90.5</v>
      </c>
      <c r="S20" s="54">
        <f t="shared" ref="S18:S80" si="8">SUM(Q20,R20)</f>
        <v>102.03256259467079</v>
      </c>
      <c r="T20" s="52">
        <f t="shared" si="7"/>
        <v>78.967437405329207</v>
      </c>
      <c r="U20" s="79">
        <f t="shared" si="2"/>
        <v>90.5</v>
      </c>
      <c r="V20" s="78">
        <v>12</v>
      </c>
      <c r="W20" s="79">
        <f t="shared" si="6"/>
        <v>1086</v>
      </c>
    </row>
    <row r="21" spans="1:23" ht="14.45" customHeight="1">
      <c r="A21" s="53"/>
      <c r="B21" s="68"/>
      <c r="C21" s="68"/>
      <c r="D21" s="68"/>
      <c r="E21" s="178"/>
      <c r="F21" s="179"/>
      <c r="G21" s="194"/>
      <c r="H21" s="195"/>
      <c r="I21" s="200"/>
      <c r="J21" s="201"/>
      <c r="K21" s="185" t="s">
        <v>189</v>
      </c>
      <c r="L21" s="186"/>
      <c r="M21" s="187" t="s">
        <v>194</v>
      </c>
      <c r="N21" s="188"/>
      <c r="O21" s="185" t="s">
        <v>199</v>
      </c>
      <c r="P21" s="186"/>
      <c r="Q21" s="81"/>
      <c r="R21" s="229"/>
      <c r="S21" s="54"/>
      <c r="T21" s="52"/>
      <c r="U21" s="79"/>
      <c r="V21" s="78"/>
      <c r="W21" s="79"/>
    </row>
    <row r="22" spans="1:23" ht="121.5">
      <c r="A22" s="53">
        <v>8</v>
      </c>
      <c r="B22" s="68" t="s">
        <v>214</v>
      </c>
      <c r="C22" s="68" t="s">
        <v>201</v>
      </c>
      <c r="D22" s="68">
        <v>8</v>
      </c>
      <c r="E22" s="50"/>
      <c r="F22" s="50"/>
      <c r="G22" s="49"/>
      <c r="H22" s="49"/>
      <c r="I22" s="71"/>
      <c r="J22" s="71"/>
      <c r="K22" s="49">
        <v>3.09</v>
      </c>
      <c r="L22" s="49">
        <f>K22*8</f>
        <v>24.72</v>
      </c>
      <c r="M22" s="50">
        <v>3.59</v>
      </c>
      <c r="N22" s="50">
        <f>M22*8</f>
        <v>28.72</v>
      </c>
      <c r="O22" s="49">
        <v>3.19</v>
      </c>
      <c r="P22" s="64">
        <f>O22*8</f>
        <v>25.52</v>
      </c>
      <c r="Q22" s="81">
        <f>_xlfn.STDEV.S(L22,N22,P22)</f>
        <v>2.1166010488516722</v>
      </c>
      <c r="R22" s="229">
        <f>AVERAGE(L22,N22,P22)</f>
        <v>26.319999999999997</v>
      </c>
      <c r="S22" s="54">
        <f>SUM(Q22,R22)</f>
        <v>28.436601048851671</v>
      </c>
      <c r="T22" s="52">
        <f t="shared" si="7"/>
        <v>24.203398951148323</v>
      </c>
      <c r="U22" s="79">
        <f t="shared" si="2"/>
        <v>26.319999999999997</v>
      </c>
      <c r="V22" s="78">
        <v>12</v>
      </c>
      <c r="W22" s="79">
        <f t="shared" si="6"/>
        <v>315.83999999999997</v>
      </c>
    </row>
    <row r="23" spans="1:23" ht="15" customHeight="1">
      <c r="A23" s="53"/>
      <c r="B23" s="68"/>
      <c r="C23" s="68"/>
      <c r="D23" s="68"/>
      <c r="E23" s="178"/>
      <c r="F23" s="179"/>
      <c r="G23" s="183"/>
      <c r="H23" s="184"/>
      <c r="I23" s="182"/>
      <c r="J23" s="179"/>
      <c r="K23" s="185" t="s">
        <v>189</v>
      </c>
      <c r="L23" s="186"/>
      <c r="M23" s="187" t="s">
        <v>215</v>
      </c>
      <c r="N23" s="188"/>
      <c r="O23" s="185" t="s">
        <v>216</v>
      </c>
      <c r="P23" s="186"/>
      <c r="Q23" s="81"/>
      <c r="R23" s="229"/>
      <c r="S23" s="54"/>
      <c r="T23" s="52"/>
      <c r="U23" s="79"/>
      <c r="V23" s="78"/>
      <c r="W23" s="79"/>
    </row>
    <row r="24" spans="1:23" ht="121.5">
      <c r="A24" s="53">
        <v>9</v>
      </c>
      <c r="B24" s="68" t="s">
        <v>217</v>
      </c>
      <c r="C24" s="68" t="s">
        <v>201</v>
      </c>
      <c r="D24" s="68">
        <v>4</v>
      </c>
      <c r="E24" s="50"/>
      <c r="F24" s="50"/>
      <c r="G24" s="49"/>
      <c r="H24" s="49"/>
      <c r="I24" s="50"/>
      <c r="J24" s="50"/>
      <c r="K24" s="49">
        <v>6.69</v>
      </c>
      <c r="L24" s="49">
        <v>26.76</v>
      </c>
      <c r="M24" s="50">
        <v>10.49</v>
      </c>
      <c r="N24" s="50">
        <v>41.96</v>
      </c>
      <c r="O24" s="49">
        <v>11.9</v>
      </c>
      <c r="P24" s="64">
        <v>47.6</v>
      </c>
      <c r="Q24" s="81">
        <f>_xlfn.STDEV.S(L24,N24,P24)</f>
        <v>10.779264044142058</v>
      </c>
      <c r="R24" s="229">
        <f>AVERAGE(L24,N24,P24)</f>
        <v>38.773333333333333</v>
      </c>
      <c r="S24" s="54">
        <f t="shared" si="8"/>
        <v>49.552597377475394</v>
      </c>
      <c r="T24" s="52">
        <f t="shared" si="7"/>
        <v>27.994069289191273</v>
      </c>
      <c r="U24" s="79">
        <f t="shared" si="2"/>
        <v>38.773333333333333</v>
      </c>
      <c r="V24" s="78">
        <v>12</v>
      </c>
      <c r="W24" s="79">
        <f t="shared" si="6"/>
        <v>465.28</v>
      </c>
    </row>
    <row r="25" spans="1:23" ht="15" customHeight="1">
      <c r="A25" s="53"/>
      <c r="B25" s="68"/>
      <c r="C25" s="68"/>
      <c r="D25" s="68"/>
      <c r="E25" s="178"/>
      <c r="F25" s="179"/>
      <c r="G25" s="183"/>
      <c r="H25" s="184"/>
      <c r="I25" s="200"/>
      <c r="J25" s="201"/>
      <c r="K25" s="185" t="s">
        <v>189</v>
      </c>
      <c r="L25" s="186"/>
      <c r="M25" s="187" t="s">
        <v>190</v>
      </c>
      <c r="N25" s="188"/>
      <c r="O25" s="185" t="s">
        <v>202</v>
      </c>
      <c r="P25" s="186"/>
      <c r="Q25" s="81"/>
      <c r="R25" s="229"/>
      <c r="S25" s="54"/>
      <c r="T25" s="52"/>
      <c r="U25" s="79"/>
      <c r="V25" s="78"/>
      <c r="W25" s="79"/>
    </row>
    <row r="26" spans="1:23" ht="76.5">
      <c r="A26" s="53">
        <v>10</v>
      </c>
      <c r="B26" s="68" t="s">
        <v>218</v>
      </c>
      <c r="C26" s="68" t="s">
        <v>201</v>
      </c>
      <c r="D26" s="68">
        <v>15</v>
      </c>
      <c r="E26" s="50"/>
      <c r="F26" s="50"/>
      <c r="G26" s="49"/>
      <c r="H26" s="49"/>
      <c r="I26" s="71"/>
      <c r="J26" s="71"/>
      <c r="K26" s="49">
        <v>2.59</v>
      </c>
      <c r="L26" s="49">
        <f>K26*15</f>
        <v>38.849999999999994</v>
      </c>
      <c r="M26" s="50">
        <v>2.2999999999999998</v>
      </c>
      <c r="N26" s="50">
        <f>M26*15</f>
        <v>34.5</v>
      </c>
      <c r="O26" s="49">
        <v>2.69</v>
      </c>
      <c r="P26" s="64">
        <f>O26*15</f>
        <v>40.35</v>
      </c>
      <c r="Q26" s="81">
        <f>_xlfn.STDEV.S(L26,N26,P26)</f>
        <v>3.0385029208476988</v>
      </c>
      <c r="R26" s="229">
        <f>AVERAGE(L26,N26,P26)</f>
        <v>37.9</v>
      </c>
      <c r="S26" s="54">
        <f t="shared" si="8"/>
        <v>40.938502920847696</v>
      </c>
      <c r="T26" s="52">
        <f t="shared" si="7"/>
        <v>34.861497079152301</v>
      </c>
      <c r="U26" s="79">
        <f t="shared" si="2"/>
        <v>37.9</v>
      </c>
      <c r="V26" s="78">
        <v>12</v>
      </c>
      <c r="W26" s="79">
        <f t="shared" si="6"/>
        <v>454.79999999999995</v>
      </c>
    </row>
    <row r="27" spans="1:23" ht="15" customHeight="1">
      <c r="A27" s="53"/>
      <c r="B27" s="68"/>
      <c r="C27" s="68"/>
      <c r="D27" s="68"/>
      <c r="E27" s="178"/>
      <c r="F27" s="179"/>
      <c r="G27" s="183"/>
      <c r="H27" s="184"/>
      <c r="I27" s="182"/>
      <c r="J27" s="179"/>
      <c r="K27" s="185" t="s">
        <v>219</v>
      </c>
      <c r="L27" s="186"/>
      <c r="M27" s="187" t="s">
        <v>220</v>
      </c>
      <c r="N27" s="188"/>
      <c r="O27" s="185" t="s">
        <v>221</v>
      </c>
      <c r="P27" s="186"/>
      <c r="Q27" s="81"/>
      <c r="R27" s="229"/>
      <c r="S27" s="54"/>
      <c r="T27" s="52"/>
      <c r="U27" s="79"/>
      <c r="V27" s="78"/>
      <c r="W27" s="79"/>
    </row>
    <row r="28" spans="1:23" ht="76.5">
      <c r="A28" s="53">
        <v>11</v>
      </c>
      <c r="B28" s="68" t="s">
        <v>222</v>
      </c>
      <c r="C28" s="68" t="s">
        <v>201</v>
      </c>
      <c r="D28" s="68">
        <v>3</v>
      </c>
      <c r="E28" s="50"/>
      <c r="F28" s="50"/>
      <c r="G28" s="49"/>
      <c r="H28" s="49"/>
      <c r="I28" s="50"/>
      <c r="J28" s="50"/>
      <c r="K28" s="49">
        <v>38</v>
      </c>
      <c r="L28" s="49">
        <v>114</v>
      </c>
      <c r="M28" s="50">
        <v>28.51</v>
      </c>
      <c r="N28" s="50">
        <v>85.53</v>
      </c>
      <c r="O28" s="49">
        <v>28.9</v>
      </c>
      <c r="P28" s="64">
        <v>86.7</v>
      </c>
      <c r="Q28" s="81">
        <f t="shared" ref="Q27:Q91" si="9">_xlfn.STDEV.S(L28,N28,P28)</f>
        <v>16.110037243904781</v>
      </c>
      <c r="R28" s="229">
        <f t="shared" ref="R27:R91" si="10">AVERAGE(L28,N28,P28)</f>
        <v>95.410000000000011</v>
      </c>
      <c r="S28" s="54">
        <f t="shared" si="8"/>
        <v>111.5200372439048</v>
      </c>
      <c r="T28" s="52">
        <f t="shared" si="7"/>
        <v>79.299962756095226</v>
      </c>
      <c r="U28" s="79">
        <f t="shared" si="2"/>
        <v>95.410000000000011</v>
      </c>
      <c r="V28" s="78">
        <v>12</v>
      </c>
      <c r="W28" s="79">
        <f t="shared" si="6"/>
        <v>1144.92</v>
      </c>
    </row>
    <row r="29" spans="1:23" ht="15" customHeight="1">
      <c r="A29" s="53"/>
      <c r="B29" s="68"/>
      <c r="C29" s="68"/>
      <c r="D29" s="68"/>
      <c r="E29" s="178"/>
      <c r="F29" s="179"/>
      <c r="G29" s="183"/>
      <c r="H29" s="184"/>
      <c r="I29" s="200"/>
      <c r="J29" s="201"/>
      <c r="K29" s="185" t="s">
        <v>223</v>
      </c>
      <c r="L29" s="186"/>
      <c r="M29" s="187" t="s">
        <v>224</v>
      </c>
      <c r="N29" s="188"/>
      <c r="O29" s="185" t="s">
        <v>225</v>
      </c>
      <c r="P29" s="186"/>
      <c r="Q29" s="81"/>
      <c r="R29" s="229"/>
      <c r="S29" s="54"/>
      <c r="T29" s="52"/>
      <c r="U29" s="79"/>
      <c r="V29" s="78"/>
      <c r="W29" s="79"/>
    </row>
    <row r="30" spans="1:23" ht="213">
      <c r="A30" s="53">
        <v>12</v>
      </c>
      <c r="B30" s="68" t="s">
        <v>226</v>
      </c>
      <c r="C30" s="68" t="s">
        <v>208</v>
      </c>
      <c r="D30" s="68">
        <v>2</v>
      </c>
      <c r="E30" s="50"/>
      <c r="F30" s="50"/>
      <c r="G30" s="49"/>
      <c r="H30" s="49"/>
      <c r="I30" s="71"/>
      <c r="J30" s="71"/>
      <c r="K30" s="49">
        <v>96</v>
      </c>
      <c r="L30" s="49">
        <v>192</v>
      </c>
      <c r="M30" s="50">
        <v>144.99</v>
      </c>
      <c r="N30" s="50">
        <v>289.98</v>
      </c>
      <c r="O30" s="49">
        <v>131.18</v>
      </c>
      <c r="P30" s="64">
        <v>262.36</v>
      </c>
      <c r="Q30" s="81">
        <f t="shared" si="9"/>
        <v>50.519755871672068</v>
      </c>
      <c r="R30" s="229">
        <f t="shared" si="10"/>
        <v>248.11333333333334</v>
      </c>
      <c r="S30" s="54">
        <f t="shared" si="8"/>
        <v>298.63308920500543</v>
      </c>
      <c r="T30" s="52">
        <f t="shared" si="7"/>
        <v>197.59357746166128</v>
      </c>
      <c r="U30" s="79">
        <f t="shared" si="2"/>
        <v>248.11333333333334</v>
      </c>
      <c r="V30" s="78">
        <v>12</v>
      </c>
      <c r="W30" s="79">
        <f t="shared" si="6"/>
        <v>2977.36</v>
      </c>
    </row>
    <row r="31" spans="1:23" ht="15" customHeight="1">
      <c r="A31" s="53"/>
      <c r="B31" s="68"/>
      <c r="C31" s="68"/>
      <c r="D31" s="68"/>
      <c r="E31" s="178"/>
      <c r="F31" s="179"/>
      <c r="G31" s="183"/>
      <c r="H31" s="184"/>
      <c r="I31" s="176"/>
      <c r="J31" s="177"/>
      <c r="K31" s="185" t="s">
        <v>227</v>
      </c>
      <c r="L31" s="186"/>
      <c r="M31" s="187" t="s">
        <v>228</v>
      </c>
      <c r="N31" s="188"/>
      <c r="O31" s="185" t="s">
        <v>229</v>
      </c>
      <c r="P31" s="186"/>
      <c r="Q31" s="81"/>
      <c r="R31" s="229"/>
      <c r="S31" s="54"/>
      <c r="T31" s="52"/>
      <c r="U31" s="79"/>
      <c r="V31" s="78"/>
      <c r="W31" s="79"/>
    </row>
    <row r="32" spans="1:23" ht="30.75">
      <c r="A32" s="53">
        <v>13</v>
      </c>
      <c r="B32" s="68" t="s">
        <v>230</v>
      </c>
      <c r="C32" s="68" t="s">
        <v>201</v>
      </c>
      <c r="D32" s="68">
        <v>5</v>
      </c>
      <c r="E32" s="50"/>
      <c r="F32" s="50"/>
      <c r="G32" s="49"/>
      <c r="H32" s="49"/>
      <c r="I32" s="50"/>
      <c r="J32" s="50"/>
      <c r="K32" s="49">
        <v>18.899999999999999</v>
      </c>
      <c r="L32" s="49">
        <v>94.5</v>
      </c>
      <c r="M32" s="50">
        <v>19.899999999999999</v>
      </c>
      <c r="N32" s="50">
        <v>99.5</v>
      </c>
      <c r="O32" s="49">
        <v>17.899999999999999</v>
      </c>
      <c r="P32" s="64">
        <v>89.5</v>
      </c>
      <c r="Q32" s="81">
        <f t="shared" si="9"/>
        <v>5</v>
      </c>
      <c r="R32" s="229">
        <f t="shared" si="10"/>
        <v>94.5</v>
      </c>
      <c r="S32" s="54">
        <f t="shared" si="8"/>
        <v>99.5</v>
      </c>
      <c r="T32" s="52">
        <f t="shared" si="7"/>
        <v>89.5</v>
      </c>
      <c r="U32" s="79">
        <f t="shared" si="2"/>
        <v>94.5</v>
      </c>
      <c r="V32" s="78">
        <v>4</v>
      </c>
      <c r="W32" s="79">
        <f t="shared" si="6"/>
        <v>378</v>
      </c>
    </row>
    <row r="33" spans="1:23" ht="15" customHeight="1">
      <c r="A33" s="53"/>
      <c r="B33" s="68"/>
      <c r="C33" s="68"/>
      <c r="D33" s="68"/>
      <c r="E33" s="178"/>
      <c r="F33" s="179"/>
      <c r="G33" s="183"/>
      <c r="H33" s="184"/>
      <c r="I33" s="200"/>
      <c r="J33" s="201"/>
      <c r="K33" s="185" t="s">
        <v>189</v>
      </c>
      <c r="L33" s="186"/>
      <c r="M33" s="187" t="s">
        <v>231</v>
      </c>
      <c r="N33" s="188"/>
      <c r="O33" s="185" t="s">
        <v>232</v>
      </c>
      <c r="P33" s="186"/>
      <c r="Q33" s="81"/>
      <c r="R33" s="229"/>
      <c r="S33" s="54"/>
      <c r="T33" s="52"/>
      <c r="U33" s="79"/>
      <c r="V33" s="78"/>
      <c r="W33" s="79"/>
    </row>
    <row r="34" spans="1:23" ht="76.5">
      <c r="A34" s="53">
        <v>14</v>
      </c>
      <c r="B34" s="68" t="s">
        <v>233</v>
      </c>
      <c r="C34" s="68" t="s">
        <v>201</v>
      </c>
      <c r="D34" s="68">
        <v>10</v>
      </c>
      <c r="E34" s="50"/>
      <c r="F34" s="50"/>
      <c r="G34" s="49"/>
      <c r="H34" s="49"/>
      <c r="I34" s="71"/>
      <c r="J34" s="71"/>
      <c r="K34" s="49">
        <v>1.99</v>
      </c>
      <c r="L34" s="49">
        <v>19.899999999999999</v>
      </c>
      <c r="M34" s="50">
        <v>1.25</v>
      </c>
      <c r="N34" s="50">
        <v>12.5</v>
      </c>
      <c r="O34" s="49">
        <v>1.33</v>
      </c>
      <c r="P34" s="64">
        <v>13.3</v>
      </c>
      <c r="Q34" s="81">
        <f t="shared" si="9"/>
        <v>4.0611985094714695</v>
      </c>
      <c r="R34" s="229">
        <f t="shared" si="10"/>
        <v>15.233333333333334</v>
      </c>
      <c r="S34" s="54">
        <f t="shared" si="8"/>
        <v>19.294531842804805</v>
      </c>
      <c r="T34" s="52">
        <f t="shared" si="7"/>
        <v>11.172134823861864</v>
      </c>
      <c r="U34" s="79">
        <f t="shared" si="2"/>
        <v>15.233333333333334</v>
      </c>
      <c r="V34" s="78">
        <v>12</v>
      </c>
      <c r="W34" s="79">
        <f t="shared" si="6"/>
        <v>182.8</v>
      </c>
    </row>
    <row r="35" spans="1:23" ht="15" customHeight="1">
      <c r="A35" s="53"/>
      <c r="B35" s="68"/>
      <c r="C35" s="68"/>
      <c r="D35" s="68"/>
      <c r="E35" s="178"/>
      <c r="F35" s="179"/>
      <c r="G35" s="183"/>
      <c r="H35" s="184"/>
      <c r="I35" s="182"/>
      <c r="J35" s="179"/>
      <c r="K35" s="185" t="s">
        <v>189</v>
      </c>
      <c r="L35" s="186"/>
      <c r="M35" s="187" t="s">
        <v>234</v>
      </c>
      <c r="N35" s="188"/>
      <c r="O35" s="185" t="s">
        <v>235</v>
      </c>
      <c r="P35" s="186"/>
      <c r="Q35" s="81"/>
      <c r="R35" s="229"/>
      <c r="S35" s="54"/>
      <c r="T35" s="52"/>
      <c r="U35" s="79"/>
      <c r="V35" s="78"/>
      <c r="W35" s="79"/>
    </row>
    <row r="36" spans="1:23" ht="91.5">
      <c r="A36" s="53">
        <v>15</v>
      </c>
      <c r="B36" s="68" t="s">
        <v>236</v>
      </c>
      <c r="C36" s="68" t="s">
        <v>204</v>
      </c>
      <c r="D36" s="68">
        <v>3</v>
      </c>
      <c r="E36" s="50"/>
      <c r="F36" s="50"/>
      <c r="G36" s="49"/>
      <c r="H36" s="49"/>
      <c r="I36" s="50"/>
      <c r="J36" s="50"/>
      <c r="K36" s="49">
        <v>1.89</v>
      </c>
      <c r="L36" s="49">
        <v>5.67</v>
      </c>
      <c r="M36" s="50">
        <v>1.45</v>
      </c>
      <c r="N36" s="50">
        <v>4.3499999999999996</v>
      </c>
      <c r="O36" s="49">
        <v>2</v>
      </c>
      <c r="P36" s="64">
        <v>6</v>
      </c>
      <c r="Q36" s="81">
        <f t="shared" si="9"/>
        <v>0.87309793265131275</v>
      </c>
      <c r="R36" s="229">
        <f t="shared" si="10"/>
        <v>5.34</v>
      </c>
      <c r="S36" s="54">
        <f t="shared" si="8"/>
        <v>6.2130979326513129</v>
      </c>
      <c r="T36" s="52">
        <f t="shared" si="7"/>
        <v>4.4669020673486868</v>
      </c>
      <c r="U36" s="79">
        <f t="shared" si="2"/>
        <v>5.34</v>
      </c>
      <c r="V36" s="78">
        <v>12</v>
      </c>
      <c r="W36" s="79">
        <f t="shared" si="6"/>
        <v>64.08</v>
      </c>
    </row>
    <row r="37" spans="1:23" ht="15" customHeight="1">
      <c r="A37" s="53"/>
      <c r="B37" s="68"/>
      <c r="C37" s="68"/>
      <c r="D37" s="68"/>
      <c r="E37" s="178"/>
      <c r="F37" s="179"/>
      <c r="G37" s="183"/>
      <c r="H37" s="184"/>
      <c r="I37" s="182"/>
      <c r="J37" s="179"/>
      <c r="K37" s="185" t="s">
        <v>237</v>
      </c>
      <c r="L37" s="186"/>
      <c r="M37" s="187" t="s">
        <v>238</v>
      </c>
      <c r="N37" s="188"/>
      <c r="O37" s="185" t="s">
        <v>239</v>
      </c>
      <c r="P37" s="186"/>
      <c r="Q37" s="81"/>
      <c r="R37" s="229"/>
      <c r="S37" s="54"/>
      <c r="T37" s="52"/>
      <c r="U37" s="79"/>
      <c r="V37" s="78"/>
      <c r="W37" s="79"/>
    </row>
    <row r="38" spans="1:23" ht="76.5">
      <c r="A38" s="53">
        <v>16</v>
      </c>
      <c r="B38" s="68" t="s">
        <v>240</v>
      </c>
      <c r="C38" s="68" t="s">
        <v>201</v>
      </c>
      <c r="D38" s="68">
        <v>8</v>
      </c>
      <c r="E38" s="50"/>
      <c r="F38" s="50"/>
      <c r="G38" s="49"/>
      <c r="H38" s="49"/>
      <c r="I38" s="50"/>
      <c r="J38" s="50"/>
      <c r="K38" s="49">
        <v>5.09</v>
      </c>
      <c r="L38" s="49">
        <v>40.72</v>
      </c>
      <c r="M38" s="50">
        <v>5.29</v>
      </c>
      <c r="N38" s="50">
        <v>42.32</v>
      </c>
      <c r="O38" s="49">
        <v>3.78</v>
      </c>
      <c r="P38" s="64">
        <v>30.24</v>
      </c>
      <c r="Q38" s="81">
        <f t="shared" si="9"/>
        <v>6.5614632514402143</v>
      </c>
      <c r="R38" s="229">
        <f t="shared" si="10"/>
        <v>37.76</v>
      </c>
      <c r="S38" s="54">
        <f t="shared" si="8"/>
        <v>44.321463251440214</v>
      </c>
      <c r="T38" s="52">
        <f t="shared" si="7"/>
        <v>31.198536748559782</v>
      </c>
      <c r="U38" s="79">
        <f t="shared" si="2"/>
        <v>37.76</v>
      </c>
      <c r="V38" s="78">
        <v>4</v>
      </c>
      <c r="W38" s="79">
        <f t="shared" si="6"/>
        <v>151.04</v>
      </c>
    </row>
    <row r="39" spans="1:23" ht="15" customHeight="1">
      <c r="A39" s="53"/>
      <c r="B39" s="68"/>
      <c r="C39" s="68"/>
      <c r="D39" s="68"/>
      <c r="E39" s="178"/>
      <c r="F39" s="179"/>
      <c r="G39" s="183"/>
      <c r="H39" s="184"/>
      <c r="I39" s="200"/>
      <c r="J39" s="201"/>
      <c r="K39" s="185" t="s">
        <v>189</v>
      </c>
      <c r="L39" s="186"/>
      <c r="M39" s="187" t="s">
        <v>232</v>
      </c>
      <c r="N39" s="188"/>
      <c r="O39" s="185" t="s">
        <v>234</v>
      </c>
      <c r="P39" s="186"/>
      <c r="Q39" s="81"/>
      <c r="R39" s="229"/>
      <c r="S39" s="54"/>
      <c r="T39" s="52"/>
      <c r="U39" s="79"/>
      <c r="V39" s="78"/>
      <c r="W39" s="79"/>
    </row>
    <row r="40" spans="1:23" ht="45.75">
      <c r="A40" s="53">
        <v>17</v>
      </c>
      <c r="B40" s="68" t="s">
        <v>241</v>
      </c>
      <c r="C40" s="68" t="s">
        <v>201</v>
      </c>
      <c r="D40" s="68">
        <v>10</v>
      </c>
      <c r="E40" s="50"/>
      <c r="F40" s="50"/>
      <c r="G40" s="49"/>
      <c r="H40" s="49"/>
      <c r="I40" s="71"/>
      <c r="J40" s="71"/>
      <c r="K40" s="49">
        <v>4.99</v>
      </c>
      <c r="L40" s="49">
        <f>K40*10</f>
        <v>49.900000000000006</v>
      </c>
      <c r="M40" s="50">
        <v>3.06</v>
      </c>
      <c r="N40" s="50">
        <f>M40*10</f>
        <v>30.6</v>
      </c>
      <c r="O40" s="49">
        <v>3.7</v>
      </c>
      <c r="P40" s="64">
        <f>O40*10</f>
        <v>37</v>
      </c>
      <c r="Q40" s="81">
        <f t="shared" si="9"/>
        <v>9.8307341197559541</v>
      </c>
      <c r="R40" s="229">
        <f t="shared" si="10"/>
        <v>39.166666666666664</v>
      </c>
      <c r="S40" s="54">
        <f t="shared" si="8"/>
        <v>48.997400786422617</v>
      </c>
      <c r="T40" s="52">
        <f t="shared" si="7"/>
        <v>29.335932546910712</v>
      </c>
      <c r="U40" s="79">
        <f t="shared" si="2"/>
        <v>39.166666666666664</v>
      </c>
      <c r="V40" s="78">
        <v>12</v>
      </c>
      <c r="W40" s="79">
        <f t="shared" si="6"/>
        <v>470</v>
      </c>
    </row>
    <row r="41" spans="1:23" ht="15" customHeight="1">
      <c r="A41" s="53"/>
      <c r="B41" s="68"/>
      <c r="C41" s="68"/>
      <c r="D41" s="68"/>
      <c r="E41" s="178"/>
      <c r="F41" s="179"/>
      <c r="G41" s="180"/>
      <c r="H41" s="181"/>
      <c r="I41" s="176"/>
      <c r="J41" s="177"/>
      <c r="K41" s="185" t="s">
        <v>189</v>
      </c>
      <c r="L41" s="186"/>
      <c r="M41" s="187" t="s">
        <v>229</v>
      </c>
      <c r="N41" s="188"/>
      <c r="O41" s="185" t="s">
        <v>242</v>
      </c>
      <c r="P41" s="186"/>
      <c r="Q41" s="81"/>
      <c r="R41" s="229"/>
      <c r="S41" s="54"/>
      <c r="T41" s="52"/>
      <c r="U41" s="79"/>
      <c r="V41" s="78"/>
      <c r="W41" s="79"/>
    </row>
    <row r="42" spans="1:23" ht="76.5">
      <c r="A42" s="53">
        <v>18</v>
      </c>
      <c r="B42" s="68" t="s">
        <v>243</v>
      </c>
      <c r="C42" s="68" t="s">
        <v>201</v>
      </c>
      <c r="D42" s="68">
        <v>9</v>
      </c>
      <c r="E42" s="50"/>
      <c r="F42" s="50"/>
      <c r="G42" s="49"/>
      <c r="H42" s="49"/>
      <c r="I42" s="50"/>
      <c r="J42" s="50"/>
      <c r="K42" s="49">
        <v>8.25</v>
      </c>
      <c r="L42" s="49">
        <f>K42*9</f>
        <v>74.25</v>
      </c>
      <c r="M42" s="50">
        <v>9.99</v>
      </c>
      <c r="N42" s="50">
        <f>M42*9</f>
        <v>89.91</v>
      </c>
      <c r="O42" s="49">
        <v>5.99</v>
      </c>
      <c r="P42" s="64">
        <f>O42*9</f>
        <v>53.910000000000004</v>
      </c>
      <c r="Q42" s="81">
        <f t="shared" si="9"/>
        <v>18.050628797911727</v>
      </c>
      <c r="R42" s="229">
        <f t="shared" si="10"/>
        <v>72.69</v>
      </c>
      <c r="S42" s="54">
        <f t="shared" si="8"/>
        <v>90.740628797911725</v>
      </c>
      <c r="T42" s="52">
        <f t="shared" si="7"/>
        <v>54.63937120208827</v>
      </c>
      <c r="U42" s="79">
        <f t="shared" si="2"/>
        <v>72.69</v>
      </c>
      <c r="V42" s="78">
        <v>12</v>
      </c>
      <c r="W42" s="79">
        <f t="shared" si="6"/>
        <v>872.28</v>
      </c>
    </row>
    <row r="43" spans="1:23" ht="15" customHeight="1">
      <c r="A43" s="53"/>
      <c r="B43" s="68"/>
      <c r="C43" s="68"/>
      <c r="D43" s="68"/>
      <c r="E43" s="178"/>
      <c r="F43" s="179"/>
      <c r="G43" s="183"/>
      <c r="H43" s="184"/>
      <c r="I43" s="182"/>
      <c r="J43" s="179"/>
      <c r="K43" s="185" t="s">
        <v>189</v>
      </c>
      <c r="L43" s="186"/>
      <c r="M43" s="187" t="s">
        <v>227</v>
      </c>
      <c r="N43" s="188"/>
      <c r="O43" s="185" t="s">
        <v>244</v>
      </c>
      <c r="P43" s="186"/>
      <c r="Q43" s="81"/>
      <c r="R43" s="229"/>
      <c r="S43" s="54"/>
      <c r="T43" s="52"/>
      <c r="U43" s="79"/>
      <c r="V43" s="78"/>
      <c r="W43" s="79"/>
    </row>
    <row r="44" spans="1:23" ht="30.75">
      <c r="A44" s="53">
        <v>19</v>
      </c>
      <c r="B44" s="68" t="s">
        <v>245</v>
      </c>
      <c r="C44" s="68" t="s">
        <v>201</v>
      </c>
      <c r="D44" s="68">
        <v>6</v>
      </c>
      <c r="E44" s="50"/>
      <c r="F44" s="50"/>
      <c r="G44" s="49"/>
      <c r="H44" s="49"/>
      <c r="I44" s="50"/>
      <c r="J44" s="50"/>
      <c r="K44" s="49">
        <v>6.75</v>
      </c>
      <c r="L44" s="49">
        <v>40.5</v>
      </c>
      <c r="M44" s="50">
        <v>6.3</v>
      </c>
      <c r="N44" s="50">
        <v>37.799999999999997</v>
      </c>
      <c r="O44" s="49">
        <v>4.46</v>
      </c>
      <c r="P44" s="64">
        <v>26.76</v>
      </c>
      <c r="Q44" s="81">
        <f t="shared" si="9"/>
        <v>7.2796428483820472</v>
      </c>
      <c r="R44" s="229">
        <f t="shared" si="10"/>
        <v>35.020000000000003</v>
      </c>
      <c r="S44" s="54">
        <f t="shared" si="8"/>
        <v>42.299642848382049</v>
      </c>
      <c r="T44" s="52">
        <f t="shared" si="7"/>
        <v>27.740357151617957</v>
      </c>
      <c r="U44" s="79">
        <f t="shared" si="2"/>
        <v>35.020000000000003</v>
      </c>
      <c r="V44" s="78">
        <v>12</v>
      </c>
      <c r="W44" s="79">
        <f t="shared" si="6"/>
        <v>420.24</v>
      </c>
    </row>
    <row r="45" spans="1:23" ht="15" customHeight="1">
      <c r="A45" s="53"/>
      <c r="B45" s="68"/>
      <c r="C45" s="68"/>
      <c r="D45" s="68"/>
      <c r="E45" s="178"/>
      <c r="F45" s="179"/>
      <c r="G45" s="183"/>
      <c r="H45" s="184"/>
      <c r="I45" s="200"/>
      <c r="J45" s="201"/>
      <c r="K45" s="185" t="s">
        <v>246</v>
      </c>
      <c r="L45" s="186"/>
      <c r="M45" s="187" t="s">
        <v>232</v>
      </c>
      <c r="N45" s="188"/>
      <c r="O45" s="185" t="s">
        <v>247</v>
      </c>
      <c r="P45" s="186"/>
      <c r="Q45" s="81"/>
      <c r="R45" s="229"/>
      <c r="S45" s="54"/>
      <c r="T45" s="52"/>
      <c r="U45" s="79"/>
      <c r="V45" s="78"/>
      <c r="W45" s="79"/>
    </row>
    <row r="46" spans="1:23" ht="76.5">
      <c r="A46" s="53">
        <v>20</v>
      </c>
      <c r="B46" s="68" t="s">
        <v>248</v>
      </c>
      <c r="C46" s="68" t="s">
        <v>201</v>
      </c>
      <c r="D46" s="68">
        <v>20</v>
      </c>
      <c r="E46" s="50"/>
      <c r="F46" s="50"/>
      <c r="G46" s="49"/>
      <c r="H46" s="49"/>
      <c r="I46" s="71"/>
      <c r="J46" s="71"/>
      <c r="K46" s="49">
        <v>4.09</v>
      </c>
      <c r="L46" s="49">
        <v>81.8</v>
      </c>
      <c r="M46" s="50">
        <v>2.85</v>
      </c>
      <c r="N46" s="50">
        <v>57</v>
      </c>
      <c r="O46" s="49">
        <v>3.71</v>
      </c>
      <c r="P46" s="64">
        <v>74.2</v>
      </c>
      <c r="Q46" s="81">
        <f t="shared" si="9"/>
        <v>12.705904139414892</v>
      </c>
      <c r="R46" s="229">
        <f t="shared" si="10"/>
        <v>71</v>
      </c>
      <c r="S46" s="54">
        <f t="shared" si="8"/>
        <v>83.705904139414898</v>
      </c>
      <c r="T46" s="52">
        <f t="shared" si="7"/>
        <v>58.294095860585109</v>
      </c>
      <c r="U46" s="79">
        <f t="shared" si="2"/>
        <v>71</v>
      </c>
      <c r="V46" s="78">
        <v>4</v>
      </c>
      <c r="W46" s="79">
        <f t="shared" si="6"/>
        <v>284</v>
      </c>
    </row>
    <row r="47" spans="1:23" ht="15" customHeight="1">
      <c r="A47" s="53"/>
      <c r="B47" s="68"/>
      <c r="C47" s="68"/>
      <c r="D47" s="68"/>
      <c r="E47" s="178"/>
      <c r="F47" s="179"/>
      <c r="G47" s="183"/>
      <c r="H47" s="184"/>
      <c r="I47" s="182"/>
      <c r="J47" s="179"/>
      <c r="K47" s="185" t="s">
        <v>189</v>
      </c>
      <c r="L47" s="186"/>
      <c r="M47" s="187" t="s">
        <v>249</v>
      </c>
      <c r="N47" s="188"/>
      <c r="O47" s="197" t="s">
        <v>250</v>
      </c>
      <c r="P47" s="198"/>
      <c r="Q47" s="81"/>
      <c r="R47" s="229"/>
      <c r="S47" s="54"/>
      <c r="T47" s="52"/>
      <c r="U47" s="79"/>
      <c r="V47" s="78"/>
      <c r="W47" s="79"/>
    </row>
    <row r="48" spans="1:23" ht="30.75">
      <c r="A48" s="53">
        <v>21</v>
      </c>
      <c r="B48" s="68" t="s">
        <v>251</v>
      </c>
      <c r="C48" s="68" t="s">
        <v>201</v>
      </c>
      <c r="D48" s="68">
        <v>15</v>
      </c>
      <c r="E48" s="50"/>
      <c r="F48" s="50"/>
      <c r="G48" s="49"/>
      <c r="H48" s="49"/>
      <c r="I48" s="50"/>
      <c r="J48" s="50"/>
      <c r="K48" s="49">
        <v>8.35</v>
      </c>
      <c r="L48" s="49">
        <v>125.25</v>
      </c>
      <c r="M48" s="50">
        <v>8.9</v>
      </c>
      <c r="N48" s="50">
        <v>133.5</v>
      </c>
      <c r="O48" s="49">
        <v>5.49</v>
      </c>
      <c r="P48" s="64">
        <v>82.35</v>
      </c>
      <c r="Q48" s="81">
        <f t="shared" si="9"/>
        <v>27.461473012203772</v>
      </c>
      <c r="R48" s="229">
        <f t="shared" si="10"/>
        <v>113.7</v>
      </c>
      <c r="S48" s="54">
        <f t="shared" si="8"/>
        <v>141.16147301220377</v>
      </c>
      <c r="T48" s="52">
        <f t="shared" si="7"/>
        <v>86.238526987796234</v>
      </c>
      <c r="U48" s="79">
        <f t="shared" si="2"/>
        <v>113.7</v>
      </c>
      <c r="V48" s="78">
        <v>4</v>
      </c>
      <c r="W48" s="79">
        <f t="shared" si="6"/>
        <v>454.8</v>
      </c>
    </row>
    <row r="49" spans="1:23" ht="15" customHeight="1">
      <c r="A49" s="53"/>
      <c r="B49" s="68"/>
      <c r="C49" s="68"/>
      <c r="D49" s="68"/>
      <c r="E49" s="178"/>
      <c r="F49" s="179"/>
      <c r="G49" s="183"/>
      <c r="H49" s="184"/>
      <c r="I49" s="182"/>
      <c r="J49" s="179"/>
      <c r="K49" s="185" t="s">
        <v>252</v>
      </c>
      <c r="L49" s="186"/>
      <c r="M49" s="187" t="s">
        <v>253</v>
      </c>
      <c r="N49" s="188"/>
      <c r="O49" s="197" t="s">
        <v>254</v>
      </c>
      <c r="P49" s="198"/>
      <c r="Q49" s="81"/>
      <c r="R49" s="229"/>
      <c r="S49" s="54"/>
      <c r="T49" s="52"/>
      <c r="U49" s="79"/>
      <c r="V49" s="78"/>
      <c r="W49" s="79"/>
    </row>
    <row r="50" spans="1:23" ht="30.75">
      <c r="A50" s="53">
        <v>22</v>
      </c>
      <c r="B50" s="68" t="s">
        <v>255</v>
      </c>
      <c r="C50" s="68" t="s">
        <v>201</v>
      </c>
      <c r="D50" s="68">
        <v>30</v>
      </c>
      <c r="E50" s="50"/>
      <c r="F50" s="50"/>
      <c r="G50" s="49"/>
      <c r="H50" s="49"/>
      <c r="I50" s="50"/>
      <c r="J50" s="50"/>
      <c r="K50" s="49">
        <v>4.9400000000000004</v>
      </c>
      <c r="L50" s="49">
        <v>148.19999999999999</v>
      </c>
      <c r="M50" s="50">
        <v>5.55</v>
      </c>
      <c r="N50" s="50">
        <v>166.5</v>
      </c>
      <c r="O50" s="49">
        <v>5.29</v>
      </c>
      <c r="P50" s="64">
        <v>158.69999999999999</v>
      </c>
      <c r="Q50" s="81">
        <f t="shared" si="9"/>
        <v>9.1831367190083864</v>
      </c>
      <c r="R50" s="229">
        <f t="shared" si="10"/>
        <v>157.79999999999998</v>
      </c>
      <c r="S50" s="54">
        <f t="shared" si="8"/>
        <v>166.98313671900837</v>
      </c>
      <c r="T50" s="52">
        <f t="shared" si="7"/>
        <v>148.61686328099159</v>
      </c>
      <c r="U50" s="79">
        <f t="shared" si="2"/>
        <v>157.79999999999998</v>
      </c>
      <c r="V50" s="78">
        <v>4</v>
      </c>
      <c r="W50" s="79">
        <f t="shared" si="6"/>
        <v>631.19999999999993</v>
      </c>
    </row>
    <row r="51" spans="1:23" ht="15" customHeight="1">
      <c r="A51" s="53"/>
      <c r="B51" s="68"/>
      <c r="C51" s="68"/>
      <c r="D51" s="68"/>
      <c r="E51" s="178"/>
      <c r="F51" s="179"/>
      <c r="G51" s="183"/>
      <c r="H51" s="184"/>
      <c r="I51" s="182"/>
      <c r="J51" s="179"/>
      <c r="K51" s="185" t="s">
        <v>256</v>
      </c>
      <c r="L51" s="186"/>
      <c r="M51" s="187" t="s">
        <v>257</v>
      </c>
      <c r="N51" s="188"/>
      <c r="O51" s="185" t="s">
        <v>258</v>
      </c>
      <c r="P51" s="186"/>
      <c r="Q51" s="81"/>
      <c r="R51" s="229"/>
      <c r="S51" s="54"/>
      <c r="T51" s="52"/>
      <c r="U51" s="79"/>
      <c r="V51" s="78"/>
      <c r="W51" s="79"/>
    </row>
    <row r="52" spans="1:23" ht="60.75">
      <c r="A52" s="53">
        <v>23</v>
      </c>
      <c r="B52" s="107" t="s">
        <v>259</v>
      </c>
      <c r="C52" s="68" t="s">
        <v>204</v>
      </c>
      <c r="D52" s="68">
        <v>3</v>
      </c>
      <c r="E52" s="50"/>
      <c r="F52" s="50"/>
      <c r="G52" s="49"/>
      <c r="H52" s="49"/>
      <c r="I52" s="50"/>
      <c r="J52" s="50"/>
      <c r="K52" s="49">
        <v>35.19</v>
      </c>
      <c r="L52" s="49">
        <v>105.57</v>
      </c>
      <c r="M52" s="50">
        <v>57.36</v>
      </c>
      <c r="N52" s="50">
        <v>172.08</v>
      </c>
      <c r="O52" s="49">
        <v>50.8</v>
      </c>
      <c r="P52" s="64">
        <v>152.4</v>
      </c>
      <c r="Q52" s="81">
        <f t="shared" si="9"/>
        <v>34.166092840709922</v>
      </c>
      <c r="R52" s="229">
        <f t="shared" si="10"/>
        <v>143.35</v>
      </c>
      <c r="S52" s="54">
        <f t="shared" si="8"/>
        <v>177.51609284070992</v>
      </c>
      <c r="T52" s="52">
        <f t="shared" si="7"/>
        <v>109.18390715929007</v>
      </c>
      <c r="U52" s="79">
        <f t="shared" si="2"/>
        <v>143.35</v>
      </c>
      <c r="V52" s="78">
        <v>12</v>
      </c>
      <c r="W52" s="79">
        <f t="shared" si="6"/>
        <v>1720.1999999999998</v>
      </c>
    </row>
    <row r="53" spans="1:23" ht="15" customHeight="1">
      <c r="A53" s="53"/>
      <c r="B53" s="68"/>
      <c r="C53" s="68"/>
      <c r="D53" s="68"/>
      <c r="E53" s="178"/>
      <c r="F53" s="179"/>
      <c r="G53" s="183"/>
      <c r="H53" s="184"/>
      <c r="I53" s="182"/>
      <c r="J53" s="179"/>
      <c r="K53" s="185" t="s">
        <v>260</v>
      </c>
      <c r="L53" s="186"/>
      <c r="M53" s="187" t="s">
        <v>261</v>
      </c>
      <c r="N53" s="188"/>
      <c r="O53" s="185" t="s">
        <v>262</v>
      </c>
      <c r="P53" s="186"/>
      <c r="Q53" s="81"/>
      <c r="R53" s="229"/>
      <c r="S53" s="54"/>
      <c r="T53" s="52"/>
      <c r="U53" s="79"/>
      <c r="V53" s="78"/>
      <c r="W53" s="79"/>
    </row>
    <row r="54" spans="1:23" ht="91.5">
      <c r="A54" s="53">
        <v>24</v>
      </c>
      <c r="B54" s="69" t="s">
        <v>263</v>
      </c>
      <c r="C54" s="69" t="s">
        <v>204</v>
      </c>
      <c r="D54" s="70">
        <v>10</v>
      </c>
      <c r="E54" s="50"/>
      <c r="F54" s="50"/>
      <c r="G54" s="49"/>
      <c r="H54" s="49"/>
      <c r="I54" s="50"/>
      <c r="J54" s="50"/>
      <c r="K54" s="49">
        <v>3.7</v>
      </c>
      <c r="L54" s="49">
        <v>37</v>
      </c>
      <c r="M54" s="50">
        <v>3.09</v>
      </c>
      <c r="N54" s="50">
        <v>30.9</v>
      </c>
      <c r="O54" s="49">
        <v>3.99</v>
      </c>
      <c r="P54" s="64">
        <v>39.9</v>
      </c>
      <c r="Q54" s="81">
        <f t="shared" si="9"/>
        <v>4.5938364504336446</v>
      </c>
      <c r="R54" s="229">
        <f t="shared" si="10"/>
        <v>35.933333333333337</v>
      </c>
      <c r="S54" s="54">
        <f t="shared" si="8"/>
        <v>40.527169783766979</v>
      </c>
      <c r="T54" s="52">
        <f t="shared" si="7"/>
        <v>31.339496882899692</v>
      </c>
      <c r="U54" s="79">
        <f t="shared" si="2"/>
        <v>35.933333333333337</v>
      </c>
      <c r="V54" s="78">
        <v>12</v>
      </c>
      <c r="W54" s="79">
        <f t="shared" si="6"/>
        <v>431.20000000000005</v>
      </c>
    </row>
    <row r="55" spans="1:23" ht="15" customHeight="1">
      <c r="A55" s="53"/>
      <c r="B55" s="68"/>
      <c r="C55" s="68"/>
      <c r="D55" s="68"/>
      <c r="E55" s="178"/>
      <c r="F55" s="179"/>
      <c r="G55" s="183"/>
      <c r="H55" s="184"/>
      <c r="I55" s="200"/>
      <c r="J55" s="201"/>
      <c r="K55" s="185" t="s">
        <v>264</v>
      </c>
      <c r="L55" s="186"/>
      <c r="M55" s="187" t="s">
        <v>265</v>
      </c>
      <c r="N55" s="188"/>
      <c r="O55" s="185" t="s">
        <v>266</v>
      </c>
      <c r="P55" s="186"/>
      <c r="Q55" s="81"/>
      <c r="R55" s="229"/>
      <c r="S55" s="54"/>
      <c r="T55" s="52"/>
      <c r="U55" s="79"/>
      <c r="V55" s="78"/>
      <c r="W55" s="79"/>
    </row>
    <row r="56" spans="1:23" ht="60.75">
      <c r="A56" s="53">
        <v>25</v>
      </c>
      <c r="B56" s="68" t="s">
        <v>267</v>
      </c>
      <c r="C56" s="68" t="s">
        <v>201</v>
      </c>
      <c r="D56" s="68">
        <v>3</v>
      </c>
      <c r="E56" s="50"/>
      <c r="F56" s="50"/>
      <c r="G56" s="49"/>
      <c r="H56" s="49"/>
      <c r="I56" s="71"/>
      <c r="J56" s="71"/>
      <c r="K56" s="49">
        <v>18.989999999999998</v>
      </c>
      <c r="L56" s="49">
        <v>56.97</v>
      </c>
      <c r="M56" s="50">
        <v>13.28</v>
      </c>
      <c r="N56" s="50">
        <v>39.840000000000003</v>
      </c>
      <c r="O56" s="49">
        <v>19.899999999999999</v>
      </c>
      <c r="P56" s="64">
        <v>59.7</v>
      </c>
      <c r="Q56" s="81">
        <f t="shared" si="9"/>
        <v>10.76498490477346</v>
      </c>
      <c r="R56" s="229">
        <f t="shared" si="10"/>
        <v>52.169999999999995</v>
      </c>
      <c r="S56" s="54">
        <f t="shared" si="8"/>
        <v>62.934984904773458</v>
      </c>
      <c r="T56" s="52">
        <f t="shared" si="7"/>
        <v>41.405015095226531</v>
      </c>
      <c r="U56" s="79">
        <f t="shared" si="2"/>
        <v>52.169999999999995</v>
      </c>
      <c r="V56" s="78">
        <v>4</v>
      </c>
      <c r="W56" s="79">
        <f t="shared" si="6"/>
        <v>208.67999999999998</v>
      </c>
    </row>
    <row r="57" spans="1:23" ht="15" customHeight="1">
      <c r="A57" s="53"/>
      <c r="B57" s="68"/>
      <c r="C57" s="68"/>
      <c r="D57" s="68"/>
      <c r="E57" s="178"/>
      <c r="F57" s="179"/>
      <c r="G57" s="183"/>
      <c r="H57" s="184"/>
      <c r="I57" s="182"/>
      <c r="J57" s="179"/>
      <c r="K57" s="185" t="s">
        <v>189</v>
      </c>
      <c r="L57" s="186"/>
      <c r="M57" s="187" t="s">
        <v>268</v>
      </c>
      <c r="N57" s="188"/>
      <c r="O57" s="185" t="s">
        <v>269</v>
      </c>
      <c r="P57" s="186"/>
      <c r="Q57" s="81"/>
      <c r="R57" s="229"/>
      <c r="S57" s="54"/>
      <c r="T57" s="52"/>
      <c r="U57" s="79"/>
      <c r="V57" s="78"/>
      <c r="W57" s="79"/>
    </row>
    <row r="58" spans="1:23" ht="106.5">
      <c r="A58" s="53">
        <v>26</v>
      </c>
      <c r="B58" s="68" t="s">
        <v>270</v>
      </c>
      <c r="C58" s="68" t="s">
        <v>204</v>
      </c>
      <c r="D58" s="68">
        <v>2</v>
      </c>
      <c r="E58" s="50"/>
      <c r="F58" s="50"/>
      <c r="G58" s="49"/>
      <c r="H58" s="49"/>
      <c r="I58" s="50"/>
      <c r="J58" s="50"/>
      <c r="K58" s="49">
        <v>8.99</v>
      </c>
      <c r="L58" s="49">
        <v>17.98</v>
      </c>
      <c r="M58" s="50">
        <v>14.35</v>
      </c>
      <c r="N58" s="50">
        <v>28.7</v>
      </c>
      <c r="O58" s="49">
        <v>13.99</v>
      </c>
      <c r="P58" s="64">
        <v>27.98</v>
      </c>
      <c r="Q58" s="81">
        <f t="shared" si="9"/>
        <v>5.9921726721893958</v>
      </c>
      <c r="R58" s="229">
        <f t="shared" si="10"/>
        <v>24.886666666666667</v>
      </c>
      <c r="S58" s="54">
        <f t="shared" si="8"/>
        <v>30.878839338856061</v>
      </c>
      <c r="T58" s="52">
        <f t="shared" si="7"/>
        <v>18.894493994477273</v>
      </c>
      <c r="U58" s="79">
        <f t="shared" si="2"/>
        <v>24.886666666666667</v>
      </c>
      <c r="V58" s="78">
        <v>4</v>
      </c>
      <c r="W58" s="79">
        <f>U58*V58</f>
        <v>99.546666666666667</v>
      </c>
    </row>
    <row r="59" spans="1:23" ht="15" customHeight="1">
      <c r="A59" s="53"/>
      <c r="B59" s="68"/>
      <c r="C59" s="68"/>
      <c r="D59" s="68"/>
      <c r="E59" s="178"/>
      <c r="F59" s="179"/>
      <c r="G59" s="183"/>
      <c r="H59" s="184"/>
      <c r="I59" s="182"/>
      <c r="J59" s="179"/>
      <c r="K59" s="185" t="s">
        <v>271</v>
      </c>
      <c r="L59" s="186"/>
      <c r="M59" s="187" t="s">
        <v>272</v>
      </c>
      <c r="N59" s="188"/>
      <c r="O59" s="185" t="s">
        <v>273</v>
      </c>
      <c r="P59" s="186"/>
      <c r="Q59" s="81"/>
      <c r="R59" s="229"/>
      <c r="S59" s="54"/>
      <c r="T59" s="52"/>
      <c r="U59" s="79"/>
      <c r="V59" s="78"/>
      <c r="W59" s="79"/>
    </row>
    <row r="60" spans="1:23" ht="60.75">
      <c r="A60" s="53">
        <v>27</v>
      </c>
      <c r="B60" s="68" t="s">
        <v>274</v>
      </c>
      <c r="C60" s="68" t="s">
        <v>201</v>
      </c>
      <c r="D60" s="68">
        <v>2</v>
      </c>
      <c r="E60" s="50"/>
      <c r="F60" s="50"/>
      <c r="G60" s="49"/>
      <c r="H60" s="49"/>
      <c r="I60" s="50"/>
      <c r="J60" s="50"/>
      <c r="K60" s="49">
        <v>12.9</v>
      </c>
      <c r="L60" s="49">
        <v>25.8</v>
      </c>
      <c r="M60" s="50">
        <v>9.89</v>
      </c>
      <c r="N60" s="50">
        <v>19.78</v>
      </c>
      <c r="O60" s="49">
        <v>8.36</v>
      </c>
      <c r="P60" s="64">
        <v>16.72</v>
      </c>
      <c r="Q60" s="81">
        <f t="shared" si="9"/>
        <v>4.6197113906967635</v>
      </c>
      <c r="R60" s="229">
        <f t="shared" si="10"/>
        <v>20.766666666666666</v>
      </c>
      <c r="S60" s="54">
        <f t="shared" si="8"/>
        <v>25.38637805736343</v>
      </c>
      <c r="T60" s="52">
        <f t="shared" si="7"/>
        <v>16.146955275969901</v>
      </c>
      <c r="U60" s="79">
        <f t="shared" si="2"/>
        <v>20.766666666666666</v>
      </c>
      <c r="V60" s="78">
        <v>4</v>
      </c>
      <c r="W60" s="79">
        <f>U60*V60</f>
        <v>83.066666666666663</v>
      </c>
    </row>
    <row r="61" spans="1:23" ht="14.45" customHeight="1">
      <c r="A61" s="53"/>
      <c r="B61" s="68"/>
      <c r="C61" s="68"/>
      <c r="D61" s="68"/>
      <c r="E61" s="192"/>
      <c r="F61" s="193"/>
      <c r="G61" s="194"/>
      <c r="H61" s="195"/>
      <c r="I61" s="213"/>
      <c r="J61" s="214"/>
      <c r="K61" s="215" t="s">
        <v>275</v>
      </c>
      <c r="L61" s="216"/>
      <c r="M61" s="230" t="s">
        <v>271</v>
      </c>
      <c r="N61" s="231"/>
      <c r="O61" s="185" t="s">
        <v>276</v>
      </c>
      <c r="P61" s="186"/>
      <c r="Q61" s="81"/>
      <c r="R61" s="229"/>
      <c r="S61" s="54"/>
      <c r="T61" s="52"/>
      <c r="U61" s="79"/>
      <c r="V61" s="78"/>
      <c r="W61" s="79"/>
    </row>
    <row r="62" spans="1:23" ht="45.75">
      <c r="A62" s="53">
        <v>28</v>
      </c>
      <c r="B62" s="68" t="s">
        <v>277</v>
      </c>
      <c r="C62" s="68" t="s">
        <v>201</v>
      </c>
      <c r="D62" s="68">
        <v>12</v>
      </c>
      <c r="E62" s="50"/>
      <c r="F62" s="50"/>
      <c r="G62" s="49"/>
      <c r="H62" s="49"/>
      <c r="I62" s="50"/>
      <c r="J62" s="50"/>
      <c r="K62" s="118">
        <v>32.54</v>
      </c>
      <c r="L62" s="118">
        <f>K62*D62</f>
        <v>390.48</v>
      </c>
      <c r="M62" s="119">
        <v>29.33</v>
      </c>
      <c r="N62" s="119">
        <v>351.96</v>
      </c>
      <c r="O62" s="49">
        <v>22.55</v>
      </c>
      <c r="P62" s="64">
        <v>270.60000000000002</v>
      </c>
      <c r="Q62" s="81">
        <f t="shared" si="9"/>
        <v>61.202470538369752</v>
      </c>
      <c r="R62" s="229">
        <f t="shared" si="10"/>
        <v>337.68</v>
      </c>
      <c r="S62" s="54">
        <f t="shared" si="8"/>
        <v>398.88247053836977</v>
      </c>
      <c r="T62" s="52">
        <f t="shared" si="7"/>
        <v>276.47752946163024</v>
      </c>
      <c r="U62" s="79">
        <f t="shared" si="2"/>
        <v>337.68</v>
      </c>
      <c r="V62" s="78">
        <v>10</v>
      </c>
      <c r="W62" s="79">
        <f>U62/V62</f>
        <v>33.768000000000001</v>
      </c>
    </row>
    <row r="63" spans="1:23" ht="15" customHeight="1">
      <c r="A63" s="53"/>
      <c r="B63" s="68"/>
      <c r="C63" s="68"/>
      <c r="D63" s="68"/>
      <c r="E63" s="178"/>
      <c r="F63" s="179"/>
      <c r="G63" s="183"/>
      <c r="H63" s="184"/>
      <c r="I63" s="182"/>
      <c r="J63" s="179"/>
      <c r="K63" s="232" t="s">
        <v>271</v>
      </c>
      <c r="L63" s="233"/>
      <c r="M63" s="230" t="s">
        <v>189</v>
      </c>
      <c r="N63" s="231"/>
      <c r="O63" s="185" t="s">
        <v>278</v>
      </c>
      <c r="P63" s="186"/>
      <c r="Q63" s="81"/>
      <c r="R63" s="229"/>
      <c r="S63" s="54"/>
      <c r="T63" s="52"/>
      <c r="U63" s="79"/>
      <c r="V63" s="78"/>
      <c r="W63" s="79"/>
    </row>
    <row r="64" spans="1:23" ht="45.75">
      <c r="A64" s="53">
        <v>29</v>
      </c>
      <c r="B64" s="68" t="s">
        <v>279</v>
      </c>
      <c r="C64" s="68" t="s">
        <v>201</v>
      </c>
      <c r="D64" s="68">
        <v>12</v>
      </c>
      <c r="E64" s="50"/>
      <c r="F64" s="50"/>
      <c r="G64" s="49"/>
      <c r="H64" s="49"/>
      <c r="I64" s="50"/>
      <c r="J64" s="50"/>
      <c r="K64" s="118">
        <v>31.59</v>
      </c>
      <c r="L64" s="118">
        <v>379.08</v>
      </c>
      <c r="M64" s="119">
        <v>42.99</v>
      </c>
      <c r="N64" s="119">
        <v>515.88</v>
      </c>
      <c r="O64" s="49">
        <v>52.15</v>
      </c>
      <c r="P64" s="64">
        <v>625.79999999999995</v>
      </c>
      <c r="Q64" s="81">
        <f t="shared" si="9"/>
        <v>123.60380576665106</v>
      </c>
      <c r="R64" s="229">
        <f t="shared" si="10"/>
        <v>506.92</v>
      </c>
      <c r="S64" s="54">
        <f t="shared" si="8"/>
        <v>630.52380576665109</v>
      </c>
      <c r="T64" s="52">
        <f t="shared" si="7"/>
        <v>383.31619423334894</v>
      </c>
      <c r="U64" s="79">
        <f t="shared" si="2"/>
        <v>506.92</v>
      </c>
      <c r="V64" s="78">
        <v>10</v>
      </c>
      <c r="W64" s="79">
        <f>U64/V64</f>
        <v>50.692</v>
      </c>
    </row>
    <row r="65" spans="1:23" ht="15">
      <c r="A65" s="53"/>
      <c r="B65" s="68"/>
      <c r="C65" s="68"/>
      <c r="D65" s="68"/>
      <c r="E65" s="178"/>
      <c r="F65" s="179"/>
      <c r="G65" s="180"/>
      <c r="H65" s="181"/>
      <c r="I65" s="176"/>
      <c r="J65" s="177"/>
      <c r="K65" s="165" t="s">
        <v>280</v>
      </c>
      <c r="L65" s="166"/>
      <c r="M65" s="161" t="s">
        <v>281</v>
      </c>
      <c r="N65" s="162"/>
      <c r="O65" s="180" t="s">
        <v>282</v>
      </c>
      <c r="P65" s="181"/>
      <c r="Q65" s="81"/>
      <c r="R65" s="229"/>
      <c r="S65" s="54"/>
      <c r="T65" s="52"/>
      <c r="U65" s="79"/>
      <c r="V65" s="78"/>
      <c r="W65" s="79"/>
    </row>
    <row r="66" spans="1:23" ht="30.75">
      <c r="A66" s="53">
        <v>30</v>
      </c>
      <c r="B66" s="68" t="s">
        <v>283</v>
      </c>
      <c r="C66" s="68" t="s">
        <v>201</v>
      </c>
      <c r="D66" s="68">
        <v>20</v>
      </c>
      <c r="E66" s="50"/>
      <c r="F66" s="50"/>
      <c r="G66" s="49"/>
      <c r="H66" s="49"/>
      <c r="I66" s="50"/>
      <c r="J66" s="50"/>
      <c r="K66" s="118">
        <v>185.43799999999999</v>
      </c>
      <c r="L66" s="118">
        <f t="shared" ref="L66" si="11">K66*D66</f>
        <v>3708.7599999999998</v>
      </c>
      <c r="M66" s="119">
        <v>170.546666666666</v>
      </c>
      <c r="N66" s="119">
        <f t="shared" ref="N66" si="12">M66*D66</f>
        <v>3410.9333333333198</v>
      </c>
      <c r="O66" s="49">
        <v>122.66</v>
      </c>
      <c r="P66" s="64">
        <v>613.29999999999995</v>
      </c>
      <c r="Q66" s="81">
        <f t="shared" si="9"/>
        <v>1707.6946254505165</v>
      </c>
      <c r="R66" s="229">
        <f t="shared" si="10"/>
        <v>2577.6644444444401</v>
      </c>
      <c r="S66" s="54">
        <f t="shared" si="8"/>
        <v>4285.3590698949565</v>
      </c>
      <c r="T66" s="52">
        <f t="shared" si="7"/>
        <v>869.96981899392358</v>
      </c>
      <c r="U66" s="79">
        <f t="shared" si="2"/>
        <v>2577.6644444444401</v>
      </c>
      <c r="V66" s="78">
        <v>10</v>
      </c>
      <c r="W66" s="79">
        <f>U66/V66</f>
        <v>257.76644444444401</v>
      </c>
    </row>
    <row r="67" spans="1:23" ht="15" customHeight="1">
      <c r="A67" s="53"/>
      <c r="B67" s="68"/>
      <c r="C67" s="68"/>
      <c r="D67" s="68"/>
      <c r="E67" s="178"/>
      <c r="F67" s="179"/>
      <c r="G67" s="183"/>
      <c r="H67" s="184"/>
      <c r="I67" s="182"/>
      <c r="J67" s="179"/>
      <c r="K67" s="185" t="s">
        <v>284</v>
      </c>
      <c r="L67" s="186"/>
      <c r="M67" s="187" t="s">
        <v>285</v>
      </c>
      <c r="N67" s="188"/>
      <c r="O67" s="185" t="s">
        <v>286</v>
      </c>
      <c r="P67" s="186"/>
      <c r="Q67" s="81"/>
      <c r="R67" s="229"/>
      <c r="S67" s="54"/>
      <c r="T67" s="52"/>
      <c r="U67" s="79"/>
      <c r="V67" s="78"/>
      <c r="W67" s="79"/>
    </row>
    <row r="68" spans="1:23" ht="30.75">
      <c r="A68" s="53">
        <v>31</v>
      </c>
      <c r="B68" s="68" t="s">
        <v>287</v>
      </c>
      <c r="C68" s="68" t="s">
        <v>201</v>
      </c>
      <c r="D68" s="68">
        <v>3</v>
      </c>
      <c r="E68" s="50"/>
      <c r="F68" s="50"/>
      <c r="G68" s="49"/>
      <c r="H68" s="49"/>
      <c r="I68" s="50"/>
      <c r="J68" s="50"/>
      <c r="K68" s="49">
        <v>151.69999999999999</v>
      </c>
      <c r="L68" s="49">
        <v>455.1</v>
      </c>
      <c r="M68" s="50">
        <v>139.9</v>
      </c>
      <c r="N68" s="50">
        <v>419.7</v>
      </c>
      <c r="O68" s="49">
        <v>196.2</v>
      </c>
      <c r="P68" s="64">
        <v>588.6</v>
      </c>
      <c r="Q68" s="81">
        <f t="shared" si="9"/>
        <v>89.071712681412038</v>
      </c>
      <c r="R68" s="229">
        <f t="shared" si="10"/>
        <v>487.8</v>
      </c>
      <c r="S68" s="54">
        <f t="shared" si="8"/>
        <v>576.87171268141208</v>
      </c>
      <c r="T68" s="52">
        <f t="shared" si="7"/>
        <v>398.72828731858795</v>
      </c>
      <c r="U68" s="79">
        <f t="shared" si="2"/>
        <v>487.8</v>
      </c>
      <c r="V68" s="78">
        <v>10</v>
      </c>
      <c r="W68" s="79">
        <f>U68/V68</f>
        <v>48.78</v>
      </c>
    </row>
    <row r="69" spans="1:23" ht="15" customHeight="1">
      <c r="A69" s="53"/>
      <c r="B69" s="68"/>
      <c r="C69" s="68"/>
      <c r="D69" s="68"/>
      <c r="E69" s="178"/>
      <c r="F69" s="179"/>
      <c r="G69" s="183"/>
      <c r="H69" s="184"/>
      <c r="I69" s="200"/>
      <c r="J69" s="201"/>
      <c r="K69" s="185" t="s">
        <v>288</v>
      </c>
      <c r="L69" s="186"/>
      <c r="M69" s="187" t="s">
        <v>289</v>
      </c>
      <c r="N69" s="188"/>
      <c r="O69" s="185" t="s">
        <v>257</v>
      </c>
      <c r="P69" s="186"/>
      <c r="Q69" s="81"/>
      <c r="R69" s="229"/>
      <c r="S69" s="54"/>
      <c r="T69" s="52"/>
      <c r="U69" s="79"/>
      <c r="V69" s="78"/>
      <c r="W69" s="79"/>
    </row>
    <row r="70" spans="1:23" ht="30.75">
      <c r="A70" s="53">
        <v>32</v>
      </c>
      <c r="B70" s="68" t="s">
        <v>290</v>
      </c>
      <c r="C70" s="68" t="s">
        <v>201</v>
      </c>
      <c r="D70" s="68">
        <v>12</v>
      </c>
      <c r="E70" s="50"/>
      <c r="F70" s="50"/>
      <c r="G70" s="49"/>
      <c r="H70" s="49"/>
      <c r="I70" s="71"/>
      <c r="J70" s="71"/>
      <c r="K70" s="49">
        <v>37.909999999999997</v>
      </c>
      <c r="L70" s="49">
        <v>454.92</v>
      </c>
      <c r="M70" s="50">
        <v>29.99</v>
      </c>
      <c r="N70" s="50">
        <v>359.88</v>
      </c>
      <c r="O70" s="49">
        <v>42.99</v>
      </c>
      <c r="P70" s="64">
        <v>515.88</v>
      </c>
      <c r="Q70" s="81">
        <f t="shared" si="9"/>
        <v>78.617982675721706</v>
      </c>
      <c r="R70" s="229">
        <f t="shared" si="10"/>
        <v>443.55999999999995</v>
      </c>
      <c r="S70" s="54">
        <f t="shared" si="8"/>
        <v>522.17798267572164</v>
      </c>
      <c r="T70" s="52">
        <f t="shared" si="7"/>
        <v>364.94201732427825</v>
      </c>
      <c r="U70" s="79">
        <f t="shared" si="2"/>
        <v>443.55999999999995</v>
      </c>
      <c r="V70" s="78">
        <v>10</v>
      </c>
      <c r="W70" s="79">
        <f>U70/V70</f>
        <v>44.355999999999995</v>
      </c>
    </row>
    <row r="71" spans="1:23" ht="15" customHeight="1">
      <c r="A71" s="53"/>
      <c r="B71" s="68"/>
      <c r="C71" s="68"/>
      <c r="D71" s="68"/>
      <c r="E71" s="178"/>
      <c r="F71" s="179"/>
      <c r="G71" s="211"/>
      <c r="H71" s="212"/>
      <c r="I71" s="182"/>
      <c r="J71" s="179"/>
      <c r="K71" s="185" t="s">
        <v>291</v>
      </c>
      <c r="L71" s="186"/>
      <c r="M71" s="187" t="s">
        <v>292</v>
      </c>
      <c r="N71" s="188"/>
      <c r="O71" s="185" t="s">
        <v>293</v>
      </c>
      <c r="P71" s="186"/>
      <c r="Q71" s="81"/>
      <c r="R71" s="229"/>
      <c r="S71" s="54"/>
      <c r="T71" s="52"/>
      <c r="U71" s="79"/>
      <c r="V71" s="78"/>
      <c r="W71" s="79"/>
    </row>
    <row r="72" spans="1:23" ht="45.75">
      <c r="A72" s="53">
        <v>33</v>
      </c>
      <c r="B72" s="68" t="s">
        <v>294</v>
      </c>
      <c r="C72" s="68" t="s">
        <v>201</v>
      </c>
      <c r="D72" s="68">
        <v>6</v>
      </c>
      <c r="E72" s="50"/>
      <c r="F72" s="50"/>
      <c r="G72" s="49"/>
      <c r="H72" s="49"/>
      <c r="I72" s="50"/>
      <c r="J72" s="50"/>
      <c r="K72" s="49">
        <v>72.989999999999995</v>
      </c>
      <c r="L72" s="49">
        <v>437.94</v>
      </c>
      <c r="M72" s="50">
        <v>64.5</v>
      </c>
      <c r="N72" s="50">
        <v>387</v>
      </c>
      <c r="O72" s="49">
        <v>74.900000000000006</v>
      </c>
      <c r="P72" s="64">
        <v>449.4</v>
      </c>
      <c r="Q72" s="81">
        <f t="shared" si="9"/>
        <v>33.216399564070748</v>
      </c>
      <c r="R72" s="229">
        <f t="shared" si="10"/>
        <v>424.78000000000003</v>
      </c>
      <c r="S72" s="54">
        <f t="shared" si="8"/>
        <v>457.99639956407077</v>
      </c>
      <c r="T72" s="52">
        <f t="shared" si="7"/>
        <v>391.56360043592929</v>
      </c>
      <c r="U72" s="79">
        <f t="shared" si="2"/>
        <v>424.78000000000003</v>
      </c>
      <c r="V72" s="78">
        <v>10</v>
      </c>
      <c r="W72" s="79">
        <f t="shared" ref="W72" si="13">U72/V72</f>
        <v>42.478000000000002</v>
      </c>
    </row>
    <row r="73" spans="1:23" ht="14.45" customHeight="1">
      <c r="A73" s="53"/>
      <c r="B73" s="68"/>
      <c r="C73" s="68"/>
      <c r="D73" s="68"/>
      <c r="E73" s="192"/>
      <c r="F73" s="193"/>
      <c r="G73" s="174"/>
      <c r="H73" s="175"/>
      <c r="I73" s="196"/>
      <c r="J73" s="193"/>
      <c r="K73" s="185" t="s">
        <v>288</v>
      </c>
      <c r="L73" s="186"/>
      <c r="M73" s="187" t="s">
        <v>295</v>
      </c>
      <c r="N73" s="188"/>
      <c r="O73" s="185" t="s">
        <v>296</v>
      </c>
      <c r="P73" s="186"/>
      <c r="Q73" s="81"/>
      <c r="R73" s="229"/>
      <c r="S73" s="54"/>
      <c r="T73" s="52"/>
      <c r="U73" s="79"/>
      <c r="V73" s="78"/>
      <c r="W73" s="79"/>
    </row>
    <row r="74" spans="1:23" ht="45.75">
      <c r="A74" s="53">
        <v>34</v>
      </c>
      <c r="B74" s="68" t="s">
        <v>297</v>
      </c>
      <c r="C74" s="68" t="s">
        <v>201</v>
      </c>
      <c r="D74" s="68">
        <v>9</v>
      </c>
      <c r="E74" s="50"/>
      <c r="F74" s="50"/>
      <c r="G74" s="49"/>
      <c r="H74" s="49"/>
      <c r="I74" s="50"/>
      <c r="J74" s="50"/>
      <c r="K74" s="49">
        <v>56.91</v>
      </c>
      <c r="L74" s="49">
        <v>512.19000000000005</v>
      </c>
      <c r="M74" s="50">
        <v>55</v>
      </c>
      <c r="N74" s="50">
        <v>495</v>
      </c>
      <c r="O74" s="49">
        <v>59</v>
      </c>
      <c r="P74" s="64">
        <v>531</v>
      </c>
      <c r="Q74" s="81">
        <f t="shared" si="9"/>
        <v>18.006073975189594</v>
      </c>
      <c r="R74" s="229">
        <f t="shared" si="10"/>
        <v>512.73</v>
      </c>
      <c r="S74" s="54">
        <f t="shared" si="8"/>
        <v>530.73607397518958</v>
      </c>
      <c r="T74" s="52">
        <f t="shared" si="7"/>
        <v>494.72392602481045</v>
      </c>
      <c r="U74" s="79">
        <f t="shared" si="2"/>
        <v>512.73</v>
      </c>
      <c r="V74" s="78">
        <v>10</v>
      </c>
      <c r="W74" s="79">
        <f t="shared" ref="W74" si="14">U74/V74</f>
        <v>51.273000000000003</v>
      </c>
    </row>
    <row r="75" spans="1:23" ht="15" customHeight="1">
      <c r="A75" s="53"/>
      <c r="B75" s="68"/>
      <c r="C75" s="68"/>
      <c r="D75" s="68"/>
      <c r="E75" s="178"/>
      <c r="F75" s="179"/>
      <c r="G75" s="183"/>
      <c r="H75" s="184"/>
      <c r="I75" s="176"/>
      <c r="J75" s="177"/>
      <c r="K75" s="205" t="s">
        <v>298</v>
      </c>
      <c r="L75" s="206"/>
      <c r="M75" s="221" t="s">
        <v>257</v>
      </c>
      <c r="N75" s="222"/>
      <c r="O75" s="185" t="s">
        <v>299</v>
      </c>
      <c r="P75" s="186"/>
      <c r="Q75" s="81"/>
      <c r="R75" s="229"/>
      <c r="S75" s="54"/>
      <c r="T75" s="52"/>
      <c r="U75" s="79"/>
      <c r="V75" s="78"/>
      <c r="W75" s="79"/>
    </row>
    <row r="76" spans="1:23" ht="30.75">
      <c r="A76" s="53">
        <v>35</v>
      </c>
      <c r="B76" s="68" t="s">
        <v>300</v>
      </c>
      <c r="C76" s="68" t="s">
        <v>201</v>
      </c>
      <c r="D76" s="68">
        <v>9</v>
      </c>
      <c r="E76" s="50"/>
      <c r="F76" s="50"/>
      <c r="G76" s="49"/>
      <c r="H76" s="49"/>
      <c r="I76" s="50"/>
      <c r="J76" s="50"/>
      <c r="K76" s="91">
        <v>109.25</v>
      </c>
      <c r="L76" s="90">
        <v>983.25</v>
      </c>
      <c r="M76" s="92">
        <v>119.99</v>
      </c>
      <c r="N76" s="92">
        <v>1079.9100000000001</v>
      </c>
      <c r="O76" s="89">
        <v>99.99</v>
      </c>
      <c r="P76" s="64">
        <v>899.91</v>
      </c>
      <c r="Q76" s="81">
        <f t="shared" si="9"/>
        <v>90.082102550950765</v>
      </c>
      <c r="R76" s="229">
        <f t="shared" si="10"/>
        <v>987.68999999999994</v>
      </c>
      <c r="S76" s="54">
        <f t="shared" si="8"/>
        <v>1077.7721025509506</v>
      </c>
      <c r="T76" s="52">
        <f t="shared" si="7"/>
        <v>897.60789744904923</v>
      </c>
      <c r="U76" s="79">
        <f t="shared" si="2"/>
        <v>987.68999999999994</v>
      </c>
      <c r="V76" s="78">
        <v>10</v>
      </c>
      <c r="W76" s="79">
        <f t="shared" ref="W76" si="15">U76/V76</f>
        <v>98.768999999999991</v>
      </c>
    </row>
    <row r="77" spans="1:23" ht="15" customHeight="1">
      <c r="A77" s="53"/>
      <c r="B77" s="68"/>
      <c r="C77" s="68"/>
      <c r="D77" s="68"/>
      <c r="E77" s="178"/>
      <c r="F77" s="179"/>
      <c r="G77" s="183"/>
      <c r="H77" s="184"/>
      <c r="I77" s="200"/>
      <c r="J77" s="201"/>
      <c r="K77" s="185" t="s">
        <v>301</v>
      </c>
      <c r="L77" s="186"/>
      <c r="M77" s="209" t="s">
        <v>302</v>
      </c>
      <c r="N77" s="210"/>
      <c r="O77" s="180"/>
      <c r="P77" s="181"/>
      <c r="Q77" s="81"/>
      <c r="R77" s="229"/>
      <c r="S77" s="54"/>
      <c r="T77" s="52"/>
      <c r="U77" s="79"/>
      <c r="V77" s="78"/>
      <c r="W77" s="79"/>
    </row>
    <row r="78" spans="1:23" ht="60.75">
      <c r="A78" s="53">
        <v>36</v>
      </c>
      <c r="B78" s="68" t="s">
        <v>303</v>
      </c>
      <c r="C78" s="68" t="s">
        <v>201</v>
      </c>
      <c r="D78" s="68">
        <v>12</v>
      </c>
      <c r="E78" s="50"/>
      <c r="F78" s="50"/>
      <c r="G78" s="49"/>
      <c r="H78" s="49"/>
      <c r="I78" s="71"/>
      <c r="J78" s="71"/>
      <c r="K78" s="49">
        <v>5.98</v>
      </c>
      <c r="L78" s="89">
        <v>71.760000000000005</v>
      </c>
      <c r="M78" s="50">
        <v>4.9000000000000004</v>
      </c>
      <c r="N78" s="50">
        <v>58.8</v>
      </c>
      <c r="O78" s="49"/>
      <c r="P78" s="64"/>
      <c r="Q78" s="81">
        <f t="shared" si="9"/>
        <v>9.1641038841776616</v>
      </c>
      <c r="R78" s="229">
        <f t="shared" si="10"/>
        <v>65.28</v>
      </c>
      <c r="S78" s="54">
        <f t="shared" si="8"/>
        <v>74.444103884177665</v>
      </c>
      <c r="T78" s="52">
        <f t="shared" si="7"/>
        <v>56.115896115822338</v>
      </c>
      <c r="U78" s="79">
        <f t="shared" si="2"/>
        <v>65.28</v>
      </c>
      <c r="V78" s="78">
        <v>10</v>
      </c>
      <c r="W78" s="79">
        <f t="shared" ref="W78" si="16">U78/V78</f>
        <v>6.5280000000000005</v>
      </c>
    </row>
    <row r="79" spans="1:23" ht="15">
      <c r="A79" s="53"/>
      <c r="B79" s="68"/>
      <c r="C79" s="68"/>
      <c r="D79" s="68"/>
      <c r="E79" s="199"/>
      <c r="F79" s="177"/>
      <c r="G79" s="180"/>
      <c r="H79" s="181"/>
      <c r="I79" s="176"/>
      <c r="J79" s="177"/>
      <c r="K79" s="165" t="s">
        <v>304</v>
      </c>
      <c r="L79" s="166"/>
      <c r="M79" s="161" t="s">
        <v>305</v>
      </c>
      <c r="N79" s="162"/>
      <c r="O79" s="165" t="s">
        <v>306</v>
      </c>
      <c r="P79" s="166"/>
      <c r="Q79" s="81"/>
      <c r="R79" s="229"/>
      <c r="S79" s="54"/>
      <c r="T79" s="52"/>
      <c r="U79" s="79"/>
      <c r="V79" s="78"/>
      <c r="W79" s="79"/>
    </row>
    <row r="80" spans="1:23" ht="45.75">
      <c r="A80" s="53">
        <v>37</v>
      </c>
      <c r="B80" s="68" t="s">
        <v>307</v>
      </c>
      <c r="C80" s="68" t="s">
        <v>201</v>
      </c>
      <c r="D80" s="68">
        <v>12</v>
      </c>
      <c r="E80" s="50"/>
      <c r="F80" s="50"/>
      <c r="G80" s="49"/>
      <c r="H80" s="49"/>
      <c r="I80" s="50"/>
      <c r="J80" s="50"/>
      <c r="K80" s="118">
        <v>69</v>
      </c>
      <c r="L80" s="118">
        <f t="shared" ref="L80" si="17">K80*D80</f>
        <v>828</v>
      </c>
      <c r="M80" s="119">
        <v>14.3488888888888</v>
      </c>
      <c r="N80" s="119">
        <f t="shared" ref="N80" si="18">M80*D80</f>
        <v>172.18666666666559</v>
      </c>
      <c r="O80" s="118">
        <v>65</v>
      </c>
      <c r="P80" s="117">
        <f t="shared" ref="P80" si="19">O80*D80</f>
        <v>780</v>
      </c>
      <c r="Q80" s="81">
        <f t="shared" si="9"/>
        <v>365.56626767148487</v>
      </c>
      <c r="R80" s="229">
        <f t="shared" si="10"/>
        <v>593.39555555555523</v>
      </c>
      <c r="S80" s="54">
        <f t="shared" si="8"/>
        <v>958.9618232270401</v>
      </c>
      <c r="T80" s="52">
        <f t="shared" si="7"/>
        <v>227.82928788407037</v>
      </c>
      <c r="U80" s="79">
        <f t="shared" si="2"/>
        <v>593.39555555555523</v>
      </c>
      <c r="V80" s="78">
        <v>10</v>
      </c>
      <c r="W80" s="79">
        <f t="shared" ref="W80" si="20">U80/V80</f>
        <v>59.339555555555521</v>
      </c>
    </row>
    <row r="81" spans="1:23" ht="15" customHeight="1">
      <c r="A81" s="53"/>
      <c r="B81" s="68"/>
      <c r="C81" s="68"/>
      <c r="D81" s="68"/>
      <c r="E81" s="178"/>
      <c r="F81" s="179"/>
      <c r="G81" s="183"/>
      <c r="H81" s="184"/>
      <c r="I81" s="176"/>
      <c r="J81" s="177"/>
      <c r="K81" s="205" t="s">
        <v>308</v>
      </c>
      <c r="L81" s="206"/>
      <c r="M81" s="207" t="s">
        <v>309</v>
      </c>
      <c r="N81" s="208"/>
      <c r="O81" s="185" t="s">
        <v>310</v>
      </c>
      <c r="P81" s="186"/>
      <c r="Q81" s="81"/>
      <c r="R81" s="229"/>
      <c r="S81" s="54"/>
      <c r="T81" s="52"/>
      <c r="U81" s="79"/>
      <c r="V81" s="78"/>
      <c r="W81" s="79"/>
    </row>
    <row r="82" spans="1:23" ht="30.75">
      <c r="A82" s="53">
        <v>38</v>
      </c>
      <c r="B82" s="68" t="s">
        <v>311</v>
      </c>
      <c r="C82" s="68" t="s">
        <v>201</v>
      </c>
      <c r="D82" s="68">
        <v>6</v>
      </c>
      <c r="E82" s="50"/>
      <c r="F82" s="50"/>
      <c r="G82" s="49"/>
      <c r="H82" s="49"/>
      <c r="I82" s="50"/>
      <c r="J82" s="50"/>
      <c r="K82" s="91">
        <v>13.9</v>
      </c>
      <c r="L82" s="91">
        <v>83.4</v>
      </c>
      <c r="M82" s="93">
        <v>15</v>
      </c>
      <c r="N82" s="93">
        <v>90</v>
      </c>
      <c r="O82" s="49">
        <v>10.77</v>
      </c>
      <c r="P82" s="64">
        <v>64.62</v>
      </c>
      <c r="Q82" s="81">
        <f t="shared" si="9"/>
        <v>13.168097812516462</v>
      </c>
      <c r="R82" s="229">
        <f t="shared" si="10"/>
        <v>79.34</v>
      </c>
      <c r="S82" s="54">
        <f t="shared" ref="S82:S114" si="21">SUM(Q82,R82)</f>
        <v>92.508097812516468</v>
      </c>
      <c r="T82" s="52">
        <f t="shared" ref="T82:T114" si="22">R82-Q82</f>
        <v>66.171902187483539</v>
      </c>
      <c r="U82" s="79">
        <f t="shared" si="2"/>
        <v>79.34</v>
      </c>
      <c r="V82" s="78">
        <v>10</v>
      </c>
      <c r="W82" s="79">
        <f t="shared" ref="W82" si="23">U82/V82</f>
        <v>7.9340000000000002</v>
      </c>
    </row>
    <row r="83" spans="1:23" ht="15" customHeight="1">
      <c r="A83" s="53"/>
      <c r="B83" s="68"/>
      <c r="C83" s="68"/>
      <c r="D83" s="68"/>
      <c r="E83" s="178"/>
      <c r="F83" s="179"/>
      <c r="G83" s="183"/>
      <c r="H83" s="184"/>
      <c r="I83" s="182"/>
      <c r="J83" s="179"/>
      <c r="K83" s="185" t="s">
        <v>312</v>
      </c>
      <c r="L83" s="186"/>
      <c r="M83" s="187" t="s">
        <v>313</v>
      </c>
      <c r="N83" s="188"/>
      <c r="O83" s="185" t="s">
        <v>314</v>
      </c>
      <c r="P83" s="186"/>
      <c r="Q83" s="81"/>
      <c r="R83" s="229"/>
      <c r="S83" s="54"/>
      <c r="T83" s="52"/>
      <c r="U83" s="79"/>
      <c r="V83" s="78"/>
      <c r="W83" s="79"/>
    </row>
    <row r="84" spans="1:23" ht="60.75">
      <c r="A84" s="53">
        <v>39</v>
      </c>
      <c r="B84" s="68" t="s">
        <v>315</v>
      </c>
      <c r="C84" s="68" t="s">
        <v>316</v>
      </c>
      <c r="D84" s="68">
        <v>15</v>
      </c>
      <c r="E84" s="50"/>
      <c r="F84" s="50"/>
      <c r="G84" s="49"/>
      <c r="H84" s="49"/>
      <c r="I84" s="50"/>
      <c r="J84" s="50"/>
      <c r="K84" s="49">
        <v>22.85</v>
      </c>
      <c r="L84" s="49">
        <v>342.75</v>
      </c>
      <c r="M84" s="50">
        <v>30.98</v>
      </c>
      <c r="N84" s="50">
        <v>464.7</v>
      </c>
      <c r="O84" s="49">
        <v>27.87</v>
      </c>
      <c r="P84" s="64">
        <v>418.05</v>
      </c>
      <c r="Q84" s="81">
        <f t="shared" si="9"/>
        <v>61.533344618994825</v>
      </c>
      <c r="R84" s="229">
        <f t="shared" si="10"/>
        <v>408.5</v>
      </c>
      <c r="S84" s="54">
        <f t="shared" si="21"/>
        <v>470.03334461899482</v>
      </c>
      <c r="T84" s="52">
        <f t="shared" si="22"/>
        <v>346.96665538100518</v>
      </c>
      <c r="U84" s="79">
        <f t="shared" si="2"/>
        <v>408.5</v>
      </c>
      <c r="V84" s="78">
        <v>10</v>
      </c>
      <c r="W84" s="79">
        <f t="shared" ref="W84" si="24">U84/V84</f>
        <v>40.85</v>
      </c>
    </row>
    <row r="85" spans="1:23" ht="15" customHeight="1">
      <c r="A85" s="53"/>
      <c r="B85" s="68"/>
      <c r="C85" s="68"/>
      <c r="D85" s="68"/>
      <c r="E85" s="178"/>
      <c r="F85" s="179"/>
      <c r="G85" s="183"/>
      <c r="H85" s="184"/>
      <c r="I85" s="182"/>
      <c r="J85" s="179"/>
      <c r="K85" s="185" t="s">
        <v>317</v>
      </c>
      <c r="L85" s="186"/>
      <c r="M85" s="187" t="s">
        <v>318</v>
      </c>
      <c r="N85" s="188"/>
      <c r="O85" s="185" t="s">
        <v>319</v>
      </c>
      <c r="P85" s="186"/>
      <c r="Q85" s="81"/>
      <c r="R85" s="229"/>
      <c r="S85" s="54"/>
      <c r="T85" s="52"/>
      <c r="U85" s="79"/>
      <c r="V85" s="78"/>
      <c r="W85" s="79"/>
    </row>
    <row r="86" spans="1:23" ht="60.75">
      <c r="A86" s="53">
        <v>40</v>
      </c>
      <c r="B86" s="68" t="s">
        <v>320</v>
      </c>
      <c r="C86" s="68" t="s">
        <v>316</v>
      </c>
      <c r="D86" s="68">
        <v>15</v>
      </c>
      <c r="E86" s="50"/>
      <c r="F86" s="50"/>
      <c r="G86" s="49"/>
      <c r="H86" s="49"/>
      <c r="I86" s="50"/>
      <c r="J86" s="50"/>
      <c r="K86" s="49">
        <v>64.41</v>
      </c>
      <c r="L86" s="49">
        <v>966.15</v>
      </c>
      <c r="M86" s="50">
        <v>44.9</v>
      </c>
      <c r="N86" s="50">
        <v>673.5</v>
      </c>
      <c r="O86" s="49">
        <v>54.99</v>
      </c>
      <c r="P86" s="64">
        <v>824.85</v>
      </c>
      <c r="Q86" s="81">
        <f t="shared" si="9"/>
        <v>146.35375806585938</v>
      </c>
      <c r="R86" s="229">
        <f t="shared" si="10"/>
        <v>821.5</v>
      </c>
      <c r="S86" s="54">
        <f t="shared" si="21"/>
        <v>967.85375806585944</v>
      </c>
      <c r="T86" s="52">
        <f t="shared" si="22"/>
        <v>675.14624193414056</v>
      </c>
      <c r="U86" s="79">
        <f t="shared" ref="U86:U114" si="25">R86</f>
        <v>821.5</v>
      </c>
      <c r="V86" s="78">
        <v>10</v>
      </c>
      <c r="W86" s="79">
        <f t="shared" ref="W86" si="26">U86/V86</f>
        <v>82.15</v>
      </c>
    </row>
    <row r="87" spans="1:23" ht="15" customHeight="1">
      <c r="A87" s="53"/>
      <c r="B87" s="68"/>
      <c r="C87" s="68"/>
      <c r="D87" s="68"/>
      <c r="E87" s="178"/>
      <c r="F87" s="179"/>
      <c r="G87" s="183"/>
      <c r="H87" s="184"/>
      <c r="I87" s="200"/>
      <c r="J87" s="201"/>
      <c r="K87" s="185" t="s">
        <v>321</v>
      </c>
      <c r="L87" s="186"/>
      <c r="M87" s="187" t="s">
        <v>322</v>
      </c>
      <c r="N87" s="188"/>
      <c r="O87" s="185" t="s">
        <v>318</v>
      </c>
      <c r="P87" s="186"/>
      <c r="Q87" s="81"/>
      <c r="R87" s="229"/>
      <c r="S87" s="54"/>
      <c r="T87" s="52"/>
      <c r="U87" s="79"/>
      <c r="V87" s="78"/>
      <c r="W87" s="79"/>
    </row>
    <row r="88" spans="1:23" ht="76.5">
      <c r="A88" s="53">
        <v>41</v>
      </c>
      <c r="B88" s="68" t="s">
        <v>323</v>
      </c>
      <c r="C88" s="68" t="s">
        <v>201</v>
      </c>
      <c r="D88" s="68">
        <v>200</v>
      </c>
      <c r="E88" s="50"/>
      <c r="F88" s="50"/>
      <c r="G88" s="49"/>
      <c r="H88" s="49"/>
      <c r="I88" s="71"/>
      <c r="J88" s="71"/>
      <c r="K88" s="49">
        <v>7.79</v>
      </c>
      <c r="L88" s="49">
        <v>1558</v>
      </c>
      <c r="M88" s="50">
        <v>7.59</v>
      </c>
      <c r="N88" s="50">
        <v>1518</v>
      </c>
      <c r="O88" s="49">
        <v>7.5</v>
      </c>
      <c r="P88" s="64">
        <v>1500</v>
      </c>
      <c r="Q88" s="81">
        <f t="shared" si="9"/>
        <v>29.687258770949757</v>
      </c>
      <c r="R88" s="229">
        <f t="shared" si="10"/>
        <v>1525.3333333333333</v>
      </c>
      <c r="S88" s="54">
        <f t="shared" si="21"/>
        <v>1555.020592104283</v>
      </c>
      <c r="T88" s="52">
        <f t="shared" si="22"/>
        <v>1495.6460745623835</v>
      </c>
      <c r="U88" s="79">
        <f t="shared" si="25"/>
        <v>1525.3333333333333</v>
      </c>
      <c r="V88" s="78">
        <v>10</v>
      </c>
      <c r="W88" s="79">
        <f t="shared" ref="W88" si="27">U88/V88</f>
        <v>152.53333333333333</v>
      </c>
    </row>
    <row r="89" spans="1:23" ht="15">
      <c r="A89" s="53"/>
      <c r="B89" s="68"/>
      <c r="C89" s="68"/>
      <c r="D89" s="68"/>
      <c r="E89" s="202"/>
      <c r="F89" s="201"/>
      <c r="G89" s="203"/>
      <c r="H89" s="204"/>
      <c r="I89" s="176"/>
      <c r="J89" s="177"/>
      <c r="K89" s="165" t="s">
        <v>324</v>
      </c>
      <c r="L89" s="166"/>
      <c r="M89" s="161" t="s">
        <v>325</v>
      </c>
      <c r="N89" s="162"/>
      <c r="O89" s="165" t="s">
        <v>326</v>
      </c>
      <c r="P89" s="166"/>
      <c r="Q89" s="81"/>
      <c r="R89" s="229"/>
      <c r="S89" s="54"/>
      <c r="T89" s="52"/>
      <c r="U89" s="79"/>
      <c r="V89" s="78"/>
      <c r="W89" s="79"/>
    </row>
    <row r="90" spans="1:23" ht="15">
      <c r="A90" s="53">
        <v>42</v>
      </c>
      <c r="B90" s="68" t="s">
        <v>327</v>
      </c>
      <c r="C90" s="68" t="s">
        <v>201</v>
      </c>
      <c r="D90" s="68">
        <v>3</v>
      </c>
      <c r="E90" s="71"/>
      <c r="F90" s="71"/>
      <c r="G90" s="72"/>
      <c r="H90" s="72"/>
      <c r="I90" s="50"/>
      <c r="J90" s="50"/>
      <c r="K90" s="118">
        <v>16.32</v>
      </c>
      <c r="L90" s="118">
        <f>K90*D90</f>
        <v>48.96</v>
      </c>
      <c r="M90" s="119">
        <v>26.999523809500001</v>
      </c>
      <c r="N90" s="119">
        <f>M90*D90</f>
        <v>80.9985714285</v>
      </c>
      <c r="O90" s="118">
        <v>45.506250000000001</v>
      </c>
      <c r="P90" s="117">
        <f>D90</f>
        <v>3</v>
      </c>
      <c r="Q90" s="81">
        <f t="shared" si="9"/>
        <v>39.205800599881293</v>
      </c>
      <c r="R90" s="229">
        <f t="shared" si="10"/>
        <v>44.319523809499998</v>
      </c>
      <c r="S90" s="54">
        <f t="shared" si="21"/>
        <v>83.525324409381284</v>
      </c>
      <c r="T90" s="52">
        <f t="shared" si="22"/>
        <v>5.1137232096187049</v>
      </c>
      <c r="U90" s="79">
        <f t="shared" si="25"/>
        <v>44.319523809499998</v>
      </c>
      <c r="V90" s="78">
        <v>10</v>
      </c>
      <c r="W90" s="79">
        <f t="shared" ref="W90" si="28">U90/V90</f>
        <v>4.4319523809499994</v>
      </c>
    </row>
    <row r="91" spans="1:23" ht="15" customHeight="1">
      <c r="A91" s="53"/>
      <c r="B91" s="68"/>
      <c r="C91" s="68"/>
      <c r="D91" s="68"/>
      <c r="E91" s="178"/>
      <c r="F91" s="179"/>
      <c r="G91" s="183"/>
      <c r="H91" s="184"/>
      <c r="I91" s="182"/>
      <c r="J91" s="179"/>
      <c r="K91" s="185" t="s">
        <v>288</v>
      </c>
      <c r="L91" s="186"/>
      <c r="M91" s="187" t="s">
        <v>289</v>
      </c>
      <c r="N91" s="188"/>
      <c r="O91" s="185" t="s">
        <v>328</v>
      </c>
      <c r="P91" s="186"/>
      <c r="Q91" s="81"/>
      <c r="R91" s="229"/>
      <c r="S91" s="54"/>
      <c r="T91" s="52"/>
      <c r="U91" s="79"/>
      <c r="V91" s="78"/>
      <c r="W91" s="79"/>
    </row>
    <row r="92" spans="1:23" ht="183">
      <c r="A92" s="53">
        <v>43</v>
      </c>
      <c r="B92" s="68" t="s">
        <v>329</v>
      </c>
      <c r="C92" s="68" t="s">
        <v>201</v>
      </c>
      <c r="D92" s="68">
        <v>6</v>
      </c>
      <c r="E92" s="50"/>
      <c r="F92" s="50"/>
      <c r="G92" s="49"/>
      <c r="H92" s="49"/>
      <c r="I92" s="50"/>
      <c r="J92" s="50"/>
      <c r="K92" s="49">
        <v>106.2</v>
      </c>
      <c r="L92" s="49">
        <v>637.20000000000005</v>
      </c>
      <c r="M92" s="50">
        <v>90</v>
      </c>
      <c r="N92" s="50">
        <v>540</v>
      </c>
      <c r="O92" s="49">
        <v>108.5</v>
      </c>
      <c r="P92" s="64">
        <v>651</v>
      </c>
      <c r="Q92" s="81">
        <f t="shared" ref="Q92:Q106" si="29">_xlfn.STDEV.S(L92,N92,P92)</f>
        <v>60.496942071479957</v>
      </c>
      <c r="R92" s="229">
        <f t="shared" ref="R92:R106" si="30">AVERAGE(L92,N92,P92)</f>
        <v>609.4</v>
      </c>
      <c r="S92" s="54">
        <f t="shared" si="21"/>
        <v>669.89694207147988</v>
      </c>
      <c r="T92" s="52">
        <f t="shared" si="22"/>
        <v>548.90305792852007</v>
      </c>
      <c r="U92" s="79">
        <f t="shared" si="25"/>
        <v>609.4</v>
      </c>
      <c r="V92" s="78">
        <v>10</v>
      </c>
      <c r="W92" s="79">
        <f t="shared" ref="W92" si="31">U92/V92</f>
        <v>60.94</v>
      </c>
    </row>
    <row r="93" spans="1:23" ht="15" customHeight="1">
      <c r="A93" s="53"/>
      <c r="B93" s="68"/>
      <c r="C93" s="68"/>
      <c r="D93" s="68"/>
      <c r="E93" s="178"/>
      <c r="F93" s="179"/>
      <c r="G93" s="183"/>
      <c r="H93" s="184"/>
      <c r="I93" s="182"/>
      <c r="J93" s="179"/>
      <c r="K93" s="185" t="s">
        <v>308</v>
      </c>
      <c r="L93" s="186"/>
      <c r="M93" s="187" t="s">
        <v>330</v>
      </c>
      <c r="N93" s="188"/>
      <c r="O93" s="185" t="s">
        <v>331</v>
      </c>
      <c r="P93" s="186"/>
      <c r="Q93" s="81"/>
      <c r="R93" s="229"/>
      <c r="S93" s="54"/>
      <c r="T93" s="52"/>
      <c r="U93" s="79"/>
      <c r="V93" s="78"/>
      <c r="W93" s="79"/>
    </row>
    <row r="94" spans="1:23" ht="167.25">
      <c r="A94" s="53">
        <v>44</v>
      </c>
      <c r="B94" s="68" t="s">
        <v>332</v>
      </c>
      <c r="C94" s="68" t="s">
        <v>201</v>
      </c>
      <c r="D94" s="68">
        <v>12</v>
      </c>
      <c r="E94" s="50"/>
      <c r="F94" s="50"/>
      <c r="G94" s="49"/>
      <c r="H94" s="49"/>
      <c r="I94" s="50"/>
      <c r="J94" s="50"/>
      <c r="K94" s="49">
        <v>67.819999999999993</v>
      </c>
      <c r="L94" s="49">
        <v>813.84</v>
      </c>
      <c r="M94" s="50">
        <v>60.72</v>
      </c>
      <c r="N94" s="50">
        <v>728.64</v>
      </c>
      <c r="O94" s="49">
        <v>84.99</v>
      </c>
      <c r="P94" s="64">
        <v>1019.88</v>
      </c>
      <c r="Q94" s="81">
        <f t="shared" si="29"/>
        <v>149.73991852542179</v>
      </c>
      <c r="R94" s="229">
        <f t="shared" si="30"/>
        <v>854.12</v>
      </c>
      <c r="S94" s="54">
        <f t="shared" si="21"/>
        <v>1003.8599185254218</v>
      </c>
      <c r="T94" s="52">
        <f t="shared" si="22"/>
        <v>704.38008147457822</v>
      </c>
      <c r="U94" s="79">
        <f t="shared" si="25"/>
        <v>854.12</v>
      </c>
      <c r="V94" s="78">
        <v>10</v>
      </c>
      <c r="W94" s="79">
        <f t="shared" ref="W94" si="32">U94/V94</f>
        <v>85.412000000000006</v>
      </c>
    </row>
    <row r="95" spans="1:23" ht="26.25" customHeight="1">
      <c r="A95" s="53"/>
      <c r="B95" s="68"/>
      <c r="C95" s="68"/>
      <c r="D95" s="68"/>
      <c r="E95" s="178"/>
      <c r="F95" s="179"/>
      <c r="G95" s="180"/>
      <c r="H95" s="181"/>
      <c r="I95" s="182"/>
      <c r="J95" s="179"/>
      <c r="K95" s="185" t="s">
        <v>330</v>
      </c>
      <c r="L95" s="186"/>
      <c r="M95" s="187" t="s">
        <v>333</v>
      </c>
      <c r="N95" s="188"/>
      <c r="O95" s="197" t="s">
        <v>334</v>
      </c>
      <c r="P95" s="198"/>
      <c r="Q95" s="81"/>
      <c r="R95" s="229"/>
      <c r="S95" s="54"/>
      <c r="T95" s="52"/>
      <c r="U95" s="79"/>
      <c r="V95" s="78"/>
      <c r="W95" s="79"/>
    </row>
    <row r="96" spans="1:23" ht="60.75">
      <c r="A96" s="53">
        <v>45</v>
      </c>
      <c r="B96" s="68" t="s">
        <v>335</v>
      </c>
      <c r="C96" s="68" t="s">
        <v>201</v>
      </c>
      <c r="D96" s="68">
        <v>12</v>
      </c>
      <c r="E96" s="50"/>
      <c r="F96" s="50"/>
      <c r="G96" s="49"/>
      <c r="H96" s="49"/>
      <c r="I96" s="50"/>
      <c r="J96" s="50"/>
      <c r="K96" s="49">
        <v>78.709999999999994</v>
      </c>
      <c r="L96" s="49">
        <v>944.52</v>
      </c>
      <c r="M96" s="50">
        <v>78.900000000000006</v>
      </c>
      <c r="N96" s="50">
        <v>946.8</v>
      </c>
      <c r="O96" s="49">
        <v>75.91</v>
      </c>
      <c r="P96" s="64">
        <v>910.92</v>
      </c>
      <c r="Q96" s="81">
        <f t="shared" si="29"/>
        <v>20.089519655780727</v>
      </c>
      <c r="R96" s="229">
        <f t="shared" si="30"/>
        <v>934.07999999999993</v>
      </c>
      <c r="S96" s="54">
        <f t="shared" si="21"/>
        <v>954.16951965578062</v>
      </c>
      <c r="T96" s="52">
        <f t="shared" si="22"/>
        <v>913.99048034421924</v>
      </c>
      <c r="U96" s="79">
        <f t="shared" si="25"/>
        <v>934.07999999999993</v>
      </c>
      <c r="V96" s="78">
        <v>10</v>
      </c>
      <c r="W96" s="79">
        <f t="shared" ref="W96" si="33">U96/V96</f>
        <v>93.407999999999987</v>
      </c>
    </row>
    <row r="97" spans="1:23" ht="15">
      <c r="A97" s="53"/>
      <c r="B97" s="68"/>
      <c r="C97" s="68"/>
      <c r="D97" s="68"/>
      <c r="E97" s="199"/>
      <c r="F97" s="177"/>
      <c r="G97" s="180"/>
      <c r="H97" s="181"/>
      <c r="I97" s="176"/>
      <c r="J97" s="177"/>
      <c r="K97" s="165" t="s">
        <v>336</v>
      </c>
      <c r="L97" s="166"/>
      <c r="M97" s="161" t="s">
        <v>337</v>
      </c>
      <c r="N97" s="162"/>
      <c r="O97" s="165" t="s">
        <v>338</v>
      </c>
      <c r="P97" s="166"/>
      <c r="Q97" s="81"/>
      <c r="R97" s="229"/>
      <c r="S97" s="54"/>
      <c r="T97" s="52"/>
      <c r="U97" s="79"/>
      <c r="V97" s="78"/>
      <c r="W97" s="79"/>
    </row>
    <row r="98" spans="1:23" ht="91.5">
      <c r="A98" s="53">
        <v>46</v>
      </c>
      <c r="B98" s="68" t="s">
        <v>339</v>
      </c>
      <c r="C98" s="68" t="s">
        <v>201</v>
      </c>
      <c r="D98" s="68">
        <v>6</v>
      </c>
      <c r="E98" s="50"/>
      <c r="F98" s="50"/>
      <c r="G98" s="49"/>
      <c r="H98" s="49"/>
      <c r="I98" s="50"/>
      <c r="J98" s="50"/>
      <c r="K98" s="118">
        <v>55.99</v>
      </c>
      <c r="L98" s="118">
        <f>K98*D98</f>
        <v>335.94</v>
      </c>
      <c r="M98" s="119">
        <v>72.088333333333296</v>
      </c>
      <c r="N98" s="119">
        <f>M98*D98</f>
        <v>432.52999999999975</v>
      </c>
      <c r="O98" s="118">
        <v>82.99</v>
      </c>
      <c r="P98" s="117">
        <f>O98*D98</f>
        <v>497.93999999999994</v>
      </c>
      <c r="Q98" s="81">
        <f t="shared" si="29"/>
        <v>81.498564609036279</v>
      </c>
      <c r="R98" s="229">
        <f t="shared" si="30"/>
        <v>422.1366666666666</v>
      </c>
      <c r="S98" s="54">
        <f t="shared" si="21"/>
        <v>503.63523127570289</v>
      </c>
      <c r="T98" s="52">
        <f t="shared" si="22"/>
        <v>340.63810205763031</v>
      </c>
      <c r="U98" s="79">
        <f t="shared" si="25"/>
        <v>422.1366666666666</v>
      </c>
      <c r="V98" s="78">
        <v>10</v>
      </c>
      <c r="W98" s="79">
        <f t="shared" ref="W98" si="34">U98/V98</f>
        <v>42.213666666666661</v>
      </c>
    </row>
    <row r="99" spans="1:23" ht="15">
      <c r="A99" s="53"/>
      <c r="B99" s="68"/>
      <c r="C99" s="68"/>
      <c r="D99" s="68"/>
      <c r="E99" s="178"/>
      <c r="F99" s="179"/>
      <c r="G99" s="180"/>
      <c r="H99" s="181"/>
      <c r="I99" s="176"/>
      <c r="J99" s="177"/>
      <c r="K99" s="165" t="s">
        <v>340</v>
      </c>
      <c r="L99" s="166"/>
      <c r="M99" s="161" t="s">
        <v>341</v>
      </c>
      <c r="N99" s="162"/>
      <c r="O99" s="232" t="s">
        <v>342</v>
      </c>
      <c r="P99" s="233"/>
      <c r="Q99" s="81"/>
      <c r="R99" s="229"/>
      <c r="S99" s="54"/>
      <c r="T99" s="52"/>
      <c r="U99" s="79"/>
      <c r="V99" s="78"/>
      <c r="W99" s="79"/>
    </row>
    <row r="100" spans="1:23" ht="137.25">
      <c r="A100" s="53">
        <v>47</v>
      </c>
      <c r="B100" s="68" t="s">
        <v>343</v>
      </c>
      <c r="C100" s="68" t="s">
        <v>201</v>
      </c>
      <c r="D100" s="68">
        <v>6</v>
      </c>
      <c r="E100" s="50"/>
      <c r="F100" s="50"/>
      <c r="G100" s="49"/>
      <c r="H100" s="49"/>
      <c r="I100" s="50"/>
      <c r="J100" s="50"/>
      <c r="K100" s="118">
        <v>65.128888888888795</v>
      </c>
      <c r="L100" s="118">
        <f>K100*D100</f>
        <v>390.77333333333274</v>
      </c>
      <c r="M100" s="119">
        <v>109.765</v>
      </c>
      <c r="N100" s="119">
        <f>M100*D100</f>
        <v>658.59</v>
      </c>
      <c r="O100" s="118">
        <v>90.25</v>
      </c>
      <c r="P100" s="117">
        <v>541.5</v>
      </c>
      <c r="Q100" s="81">
        <f t="shared" si="29"/>
        <v>134.25992395901915</v>
      </c>
      <c r="R100" s="229">
        <f t="shared" si="30"/>
        <v>530.28777777777759</v>
      </c>
      <c r="S100" s="54">
        <f t="shared" si="21"/>
        <v>664.54770173679674</v>
      </c>
      <c r="T100" s="52">
        <f t="shared" si="22"/>
        <v>396.02785381875844</v>
      </c>
      <c r="U100" s="79">
        <f t="shared" si="25"/>
        <v>530.28777777777759</v>
      </c>
      <c r="V100" s="78">
        <v>10</v>
      </c>
      <c r="W100" s="79">
        <f t="shared" ref="W100" si="35">U100/V100</f>
        <v>53.028777777777762</v>
      </c>
    </row>
    <row r="101" spans="1:23" ht="15" customHeight="1">
      <c r="A101" s="53"/>
      <c r="B101" s="68"/>
      <c r="C101" s="68"/>
      <c r="D101" s="68"/>
      <c r="E101" s="178"/>
      <c r="F101" s="179"/>
      <c r="G101" s="180"/>
      <c r="H101" s="181"/>
      <c r="I101" s="182"/>
      <c r="J101" s="179"/>
      <c r="K101" s="232" t="s">
        <v>344</v>
      </c>
      <c r="L101" s="233"/>
      <c r="M101" s="230" t="s">
        <v>345</v>
      </c>
      <c r="N101" s="231"/>
      <c r="O101" s="232" t="s">
        <v>346</v>
      </c>
      <c r="P101" s="233"/>
      <c r="Q101" s="81"/>
      <c r="R101" s="229"/>
      <c r="S101" s="54"/>
      <c r="T101" s="52"/>
      <c r="U101" s="79"/>
      <c r="V101" s="78"/>
      <c r="W101" s="79"/>
    </row>
    <row r="102" spans="1:23" ht="45.75">
      <c r="A102" s="53">
        <v>48</v>
      </c>
      <c r="B102" s="68" t="s">
        <v>347</v>
      </c>
      <c r="C102" s="68" t="s">
        <v>316</v>
      </c>
      <c r="D102" s="68">
        <v>12</v>
      </c>
      <c r="E102" s="50"/>
      <c r="F102" s="50"/>
      <c r="G102" s="49"/>
      <c r="H102" s="49"/>
      <c r="I102" s="50"/>
      <c r="J102" s="50"/>
      <c r="K102" s="118">
        <v>128.03</v>
      </c>
      <c r="L102" s="118">
        <v>1536.36</v>
      </c>
      <c r="M102" s="119">
        <v>66.22</v>
      </c>
      <c r="N102" s="119">
        <v>794.64</v>
      </c>
      <c r="O102" s="118">
        <v>73.38</v>
      </c>
      <c r="P102" s="117">
        <v>880.56</v>
      </c>
      <c r="Q102" s="81">
        <f t="shared" si="29"/>
        <v>405.71016847005393</v>
      </c>
      <c r="R102" s="229">
        <f t="shared" si="30"/>
        <v>1070.52</v>
      </c>
      <c r="S102" s="54">
        <f t="shared" si="21"/>
        <v>1476.230168470054</v>
      </c>
      <c r="T102" s="52">
        <f t="shared" si="22"/>
        <v>664.809831529946</v>
      </c>
      <c r="U102" s="79">
        <f t="shared" si="25"/>
        <v>1070.52</v>
      </c>
      <c r="V102" s="78">
        <v>10</v>
      </c>
      <c r="W102" s="79">
        <f t="shared" ref="W102" si="36">U102/V102</f>
        <v>107.05199999999999</v>
      </c>
    </row>
    <row r="103" spans="1:23" ht="15" customHeight="1">
      <c r="A103" s="53"/>
      <c r="B103" s="68"/>
      <c r="C103" s="68"/>
      <c r="D103" s="68"/>
      <c r="E103" s="178"/>
      <c r="F103" s="179"/>
      <c r="G103" s="183"/>
      <c r="H103" s="184"/>
      <c r="I103" s="182"/>
      <c r="J103" s="179"/>
      <c r="K103" s="232" t="s">
        <v>348</v>
      </c>
      <c r="L103" s="233"/>
      <c r="M103" s="230" t="s">
        <v>349</v>
      </c>
      <c r="N103" s="231"/>
      <c r="O103" s="232" t="s">
        <v>350</v>
      </c>
      <c r="P103" s="233"/>
      <c r="Q103" s="81"/>
      <c r="R103" s="229"/>
      <c r="S103" s="54"/>
      <c r="T103" s="52"/>
      <c r="U103" s="79"/>
      <c r="V103" s="78"/>
      <c r="W103" s="79"/>
    </row>
    <row r="104" spans="1:23" ht="45.75">
      <c r="A104" s="53">
        <v>49</v>
      </c>
      <c r="B104" s="68" t="s">
        <v>351</v>
      </c>
      <c r="C104" s="68" t="s">
        <v>316</v>
      </c>
      <c r="D104" s="68">
        <v>8</v>
      </c>
      <c r="E104" s="50"/>
      <c r="F104" s="50"/>
      <c r="G104" s="49"/>
      <c r="H104" s="49"/>
      <c r="I104" s="50"/>
      <c r="J104" s="50"/>
      <c r="K104" s="118">
        <v>283.76</v>
      </c>
      <c r="L104" s="118">
        <v>2270.08</v>
      </c>
      <c r="M104" s="119">
        <v>259.89999999999998</v>
      </c>
      <c r="N104" s="119">
        <v>2079.1999999999998</v>
      </c>
      <c r="O104" s="118">
        <v>188.62</v>
      </c>
      <c r="P104" s="117">
        <v>1508.96</v>
      </c>
      <c r="Q104" s="81">
        <f t="shared" si="29"/>
        <v>396.00346934507286</v>
      </c>
      <c r="R104" s="229">
        <f t="shared" si="30"/>
        <v>1952.7466666666667</v>
      </c>
      <c r="S104" s="54">
        <f t="shared" si="21"/>
        <v>2348.7501360117394</v>
      </c>
      <c r="T104" s="52">
        <f t="shared" si="22"/>
        <v>1556.7431973215939</v>
      </c>
      <c r="U104" s="79">
        <f t="shared" si="25"/>
        <v>1952.7466666666667</v>
      </c>
      <c r="V104" s="78">
        <v>10</v>
      </c>
      <c r="W104" s="79">
        <f t="shared" ref="W104" si="37">U104/V104</f>
        <v>195.27466666666666</v>
      </c>
    </row>
    <row r="105" spans="1:23" ht="15">
      <c r="A105" s="53"/>
      <c r="B105" s="68"/>
      <c r="C105" s="68"/>
      <c r="D105" s="68"/>
      <c r="E105" s="178"/>
      <c r="F105" s="179"/>
      <c r="G105" s="180"/>
      <c r="H105" s="181"/>
      <c r="I105" s="182"/>
      <c r="J105" s="179"/>
      <c r="K105" s="180" t="s">
        <v>352</v>
      </c>
      <c r="L105" s="181"/>
      <c r="M105" s="176" t="s">
        <v>353</v>
      </c>
      <c r="N105" s="177"/>
      <c r="O105" s="180" t="s">
        <v>354</v>
      </c>
      <c r="P105" s="181"/>
      <c r="Q105" s="81"/>
      <c r="R105" s="229"/>
      <c r="S105" s="54"/>
      <c r="T105" s="52"/>
      <c r="U105" s="79"/>
      <c r="V105" s="78"/>
      <c r="W105" s="79"/>
    </row>
    <row r="106" spans="1:23" ht="45.75">
      <c r="A106" s="53">
        <v>50</v>
      </c>
      <c r="B106" s="107" t="s">
        <v>355</v>
      </c>
      <c r="C106" s="68" t="s">
        <v>201</v>
      </c>
      <c r="D106" s="68">
        <v>15</v>
      </c>
      <c r="E106" s="50"/>
      <c r="F106" s="50"/>
      <c r="G106" s="49"/>
      <c r="H106" s="49"/>
      <c r="I106" s="50"/>
      <c r="J106" s="50"/>
      <c r="K106" s="49">
        <v>30</v>
      </c>
      <c r="L106" s="49">
        <v>450</v>
      </c>
      <c r="M106" s="50">
        <v>29.71</v>
      </c>
      <c r="N106" s="50">
        <v>445.65</v>
      </c>
      <c r="O106" s="49">
        <v>29.99</v>
      </c>
      <c r="P106" s="64">
        <v>449.85</v>
      </c>
      <c r="Q106" s="81">
        <f t="shared" si="29"/>
        <v>2.4693116449731685</v>
      </c>
      <c r="R106" s="229">
        <f t="shared" si="30"/>
        <v>448.5</v>
      </c>
      <c r="S106" s="54">
        <f t="shared" si="21"/>
        <v>450.96931164497317</v>
      </c>
      <c r="T106" s="52">
        <f t="shared" si="22"/>
        <v>446.03068835502683</v>
      </c>
      <c r="U106" s="79">
        <f t="shared" si="25"/>
        <v>448.5</v>
      </c>
      <c r="V106" s="78">
        <v>10</v>
      </c>
      <c r="W106" s="79">
        <f t="shared" ref="W106" si="38">U106/V106</f>
        <v>44.85</v>
      </c>
    </row>
    <row r="107" spans="1:23" ht="15" customHeight="1">
      <c r="A107" s="53"/>
      <c r="B107" s="68"/>
      <c r="C107" s="68"/>
      <c r="D107" s="68"/>
      <c r="E107" s="178"/>
      <c r="F107" s="179"/>
      <c r="G107" s="183"/>
      <c r="H107" s="184"/>
      <c r="I107" s="182"/>
      <c r="J107" s="179"/>
      <c r="K107" s="185" t="s">
        <v>330</v>
      </c>
      <c r="L107" s="186"/>
      <c r="M107" s="187" t="s">
        <v>356</v>
      </c>
      <c r="N107" s="188"/>
      <c r="O107" s="185" t="s">
        <v>357</v>
      </c>
      <c r="P107" s="186"/>
      <c r="Q107" s="81"/>
      <c r="R107" s="229"/>
      <c r="S107" s="54"/>
      <c r="T107" s="52"/>
      <c r="U107" s="79"/>
      <c r="V107" s="78"/>
      <c r="W107" s="79"/>
    </row>
    <row r="108" spans="1:23" ht="76.5">
      <c r="A108" s="53">
        <v>51</v>
      </c>
      <c r="B108" s="68" t="s">
        <v>358</v>
      </c>
      <c r="C108" s="68" t="s">
        <v>201</v>
      </c>
      <c r="D108" s="68">
        <v>2</v>
      </c>
      <c r="E108" s="50"/>
      <c r="F108" s="50"/>
      <c r="G108" s="49"/>
      <c r="H108" s="49"/>
      <c r="I108" s="50"/>
      <c r="J108" s="50"/>
      <c r="K108" s="49">
        <v>26.97</v>
      </c>
      <c r="L108" s="49">
        <v>53.94</v>
      </c>
      <c r="M108" s="50">
        <v>20.3</v>
      </c>
      <c r="N108" s="50">
        <v>40.6</v>
      </c>
      <c r="O108" s="49">
        <v>15.9</v>
      </c>
      <c r="P108" s="64">
        <v>31.8</v>
      </c>
      <c r="Q108" s="81">
        <f>_xlfn.STDEV.S(L108,N108,P108)</f>
        <v>11.147310587461581</v>
      </c>
      <c r="R108" s="229">
        <f>AVERAGE(L108,N108,P108)</f>
        <v>42.11333333333333</v>
      </c>
      <c r="S108" s="54">
        <f t="shared" si="21"/>
        <v>53.260643920794912</v>
      </c>
      <c r="T108" s="52">
        <f t="shared" si="22"/>
        <v>30.966022745871747</v>
      </c>
      <c r="U108" s="79">
        <f t="shared" si="25"/>
        <v>42.11333333333333</v>
      </c>
      <c r="V108" s="78">
        <v>10</v>
      </c>
      <c r="W108" s="79">
        <f t="shared" ref="W108" si="39">U108/V108</f>
        <v>4.2113333333333332</v>
      </c>
    </row>
    <row r="109" spans="1:23" ht="15" customHeight="1">
      <c r="A109" s="53"/>
      <c r="B109" s="68"/>
      <c r="C109" s="68"/>
      <c r="D109" s="68"/>
      <c r="E109" s="178"/>
      <c r="F109" s="179"/>
      <c r="G109" s="183"/>
      <c r="H109" s="184"/>
      <c r="I109" s="182"/>
      <c r="J109" s="179"/>
      <c r="K109" s="185" t="s">
        <v>330</v>
      </c>
      <c r="L109" s="186"/>
      <c r="M109" s="187" t="s">
        <v>194</v>
      </c>
      <c r="N109" s="188"/>
      <c r="O109" s="185" t="s">
        <v>359</v>
      </c>
      <c r="P109" s="186"/>
      <c r="Q109" s="81"/>
      <c r="R109" s="229"/>
      <c r="S109" s="54"/>
      <c r="T109" s="52"/>
      <c r="U109" s="79"/>
      <c r="V109" s="78"/>
      <c r="W109" s="79"/>
    </row>
    <row r="110" spans="1:23" ht="183">
      <c r="A110" s="53">
        <v>52</v>
      </c>
      <c r="B110" s="68" t="s">
        <v>360</v>
      </c>
      <c r="C110" s="68" t="s">
        <v>201</v>
      </c>
      <c r="D110" s="68">
        <v>6</v>
      </c>
      <c r="E110" s="50"/>
      <c r="F110" s="50"/>
      <c r="G110" s="49"/>
      <c r="H110" s="49"/>
      <c r="I110" s="50"/>
      <c r="J110" s="50"/>
      <c r="K110" s="49">
        <v>39.99</v>
      </c>
      <c r="L110" s="49">
        <v>239.94</v>
      </c>
      <c r="M110" s="50">
        <v>53.63</v>
      </c>
      <c r="N110" s="50">
        <v>321.77999999999997</v>
      </c>
      <c r="O110" s="49">
        <v>54.9</v>
      </c>
      <c r="P110" s="64">
        <v>329.4</v>
      </c>
      <c r="Q110" s="81">
        <f>_xlfn.STDEV.S(L110,N110,P110)</f>
        <v>49.596608755034886</v>
      </c>
      <c r="R110" s="229">
        <f>AVERAGE(L110,N110,P110)</f>
        <v>297.04000000000002</v>
      </c>
      <c r="S110" s="54">
        <f t="shared" si="21"/>
        <v>346.6366087550349</v>
      </c>
      <c r="T110" s="52">
        <f t="shared" si="22"/>
        <v>247.44339124496514</v>
      </c>
      <c r="U110" s="79">
        <f t="shared" si="25"/>
        <v>297.04000000000002</v>
      </c>
      <c r="V110" s="78">
        <v>10</v>
      </c>
      <c r="W110" s="79">
        <f t="shared" ref="W110" si="40">U110/V110</f>
        <v>29.704000000000001</v>
      </c>
    </row>
    <row r="111" spans="1:23" ht="15" customHeight="1">
      <c r="A111" s="53"/>
      <c r="B111" s="68"/>
      <c r="C111" s="68"/>
      <c r="D111" s="68"/>
      <c r="E111" s="178"/>
      <c r="F111" s="179"/>
      <c r="G111" s="183"/>
      <c r="H111" s="184"/>
      <c r="I111" s="182"/>
      <c r="J111" s="179"/>
      <c r="K111" s="185" t="s">
        <v>331</v>
      </c>
      <c r="L111" s="186"/>
      <c r="M111" s="187" t="s">
        <v>361</v>
      </c>
      <c r="N111" s="188"/>
      <c r="O111" s="185" t="s">
        <v>362</v>
      </c>
      <c r="P111" s="186"/>
      <c r="Q111" s="81"/>
      <c r="R111" s="229"/>
      <c r="S111" s="54"/>
      <c r="T111" s="52"/>
      <c r="U111" s="79"/>
      <c r="V111" s="78"/>
      <c r="W111" s="79"/>
    </row>
    <row r="112" spans="1:23" ht="15">
      <c r="A112" s="53">
        <v>53</v>
      </c>
      <c r="B112" s="68" t="s">
        <v>363</v>
      </c>
      <c r="C112" s="68" t="s">
        <v>201</v>
      </c>
      <c r="D112" s="68">
        <v>3</v>
      </c>
      <c r="E112" s="50"/>
      <c r="F112" s="50"/>
      <c r="G112" s="49"/>
      <c r="H112" s="49"/>
      <c r="I112" s="50"/>
      <c r="J112" s="50"/>
      <c r="K112" s="49">
        <v>12.99</v>
      </c>
      <c r="L112" s="49">
        <v>38.97</v>
      </c>
      <c r="M112" s="50">
        <v>15.49</v>
      </c>
      <c r="N112" s="50">
        <v>46.47</v>
      </c>
      <c r="O112" s="49">
        <v>19.989999999999998</v>
      </c>
      <c r="P112" s="64">
        <v>59.97</v>
      </c>
      <c r="Q112" s="81">
        <f>_xlfn.STDEV.S(L112,N112,P112)</f>
        <v>10.64189832689636</v>
      </c>
      <c r="R112" s="229">
        <f>AVERAGE(L112,N112,P112)</f>
        <v>48.47</v>
      </c>
      <c r="S112" s="54">
        <f t="shared" si="21"/>
        <v>59.111898326896359</v>
      </c>
      <c r="T112" s="52">
        <f t="shared" si="22"/>
        <v>37.828101673103639</v>
      </c>
      <c r="U112" s="79">
        <f t="shared" si="25"/>
        <v>48.47</v>
      </c>
      <c r="V112" s="78">
        <v>10</v>
      </c>
      <c r="W112" s="79">
        <f t="shared" ref="W112" si="41">U112/V112</f>
        <v>4.8469999999999995</v>
      </c>
    </row>
    <row r="113" spans="1:23" ht="15" customHeight="1">
      <c r="A113" s="53"/>
      <c r="B113" s="68"/>
      <c r="C113" s="68"/>
      <c r="D113" s="68"/>
      <c r="E113" s="178"/>
      <c r="F113" s="179"/>
      <c r="G113" s="183"/>
      <c r="H113" s="184"/>
      <c r="I113" s="182"/>
      <c r="J113" s="179"/>
      <c r="K113" s="185" t="s">
        <v>361</v>
      </c>
      <c r="L113" s="186"/>
      <c r="M113" s="187" t="s">
        <v>364</v>
      </c>
      <c r="N113" s="188"/>
      <c r="O113" s="185" t="s">
        <v>308</v>
      </c>
      <c r="P113" s="186"/>
      <c r="Q113" s="81"/>
      <c r="R113" s="229"/>
      <c r="S113" s="54"/>
      <c r="T113" s="52"/>
      <c r="U113" s="79"/>
      <c r="V113" s="78"/>
      <c r="W113" s="79"/>
    </row>
    <row r="114" spans="1:23" ht="15">
      <c r="A114" s="53">
        <v>54</v>
      </c>
      <c r="B114" s="68" t="s">
        <v>365</v>
      </c>
      <c r="C114" s="68" t="s">
        <v>201</v>
      </c>
      <c r="D114" s="68">
        <v>3</v>
      </c>
      <c r="E114" s="50"/>
      <c r="F114" s="50"/>
      <c r="G114" s="49"/>
      <c r="H114" s="49"/>
      <c r="I114" s="50"/>
      <c r="J114" s="50"/>
      <c r="K114" s="49">
        <v>6.9</v>
      </c>
      <c r="L114" s="49">
        <v>20.7</v>
      </c>
      <c r="M114" s="50">
        <v>7.67</v>
      </c>
      <c r="N114" s="50">
        <v>23.01</v>
      </c>
      <c r="O114" s="49">
        <v>7.39</v>
      </c>
      <c r="P114" s="64">
        <v>22.17</v>
      </c>
      <c r="Q114" s="81">
        <f>_xlfn.STDEV.S(L114,N114,P114)</f>
        <v>1.1692305161943057</v>
      </c>
      <c r="R114" s="229">
        <f>AVERAGE(L114,N114,P114)</f>
        <v>21.959999999999997</v>
      </c>
      <c r="S114" s="54">
        <f t="shared" si="21"/>
        <v>23.129230516194305</v>
      </c>
      <c r="T114" s="52">
        <f t="shared" si="22"/>
        <v>20.79076948380569</v>
      </c>
      <c r="U114" s="79">
        <f t="shared" si="25"/>
        <v>21.959999999999997</v>
      </c>
      <c r="V114" s="78">
        <v>10</v>
      </c>
      <c r="W114" s="79">
        <f t="shared" ref="W114" si="42">U114/V114</f>
        <v>2.1959999999999997</v>
      </c>
    </row>
    <row r="115" spans="1:23" ht="15" customHeight="1">
      <c r="A115" s="53"/>
      <c r="B115" s="68"/>
      <c r="C115" s="68"/>
      <c r="D115" s="68"/>
      <c r="E115" s="178"/>
      <c r="F115" s="179"/>
      <c r="G115" s="183"/>
      <c r="H115" s="184"/>
      <c r="I115" s="182"/>
      <c r="J115" s="179"/>
      <c r="K115" s="185" t="s">
        <v>366</v>
      </c>
      <c r="L115" s="186"/>
      <c r="M115" s="187" t="s">
        <v>194</v>
      </c>
      <c r="N115" s="188"/>
      <c r="O115" s="185" t="s">
        <v>361</v>
      </c>
      <c r="P115" s="186"/>
      <c r="Q115" s="81"/>
      <c r="R115" s="229"/>
      <c r="S115" s="54"/>
      <c r="T115" s="52"/>
      <c r="U115" s="79"/>
      <c r="V115" s="78"/>
      <c r="W115" s="79"/>
    </row>
    <row r="116" spans="1:23" ht="45.75">
      <c r="A116" s="53">
        <v>55</v>
      </c>
      <c r="B116" s="68" t="s">
        <v>367</v>
      </c>
      <c r="C116" s="68" t="s">
        <v>201</v>
      </c>
      <c r="D116" s="68">
        <v>3</v>
      </c>
      <c r="E116" s="50"/>
      <c r="F116" s="50"/>
      <c r="G116" s="49"/>
      <c r="H116" s="49"/>
      <c r="I116" s="50"/>
      <c r="J116" s="50"/>
      <c r="K116" s="49">
        <v>34.9</v>
      </c>
      <c r="L116" s="49">
        <v>104.7</v>
      </c>
      <c r="M116" s="50">
        <v>31.9</v>
      </c>
      <c r="N116" s="50">
        <v>95.7</v>
      </c>
      <c r="O116" s="49">
        <v>41.9</v>
      </c>
      <c r="P116" s="64">
        <v>125.7</v>
      </c>
      <c r="Q116" s="81">
        <f>_xlfn.STDEV.S(L116,N116,P116)</f>
        <v>15.394804318340652</v>
      </c>
      <c r="R116" s="229">
        <f>AVERAGE(L116,N116,P116)</f>
        <v>108.7</v>
      </c>
      <c r="S116" s="54">
        <f t="shared" ref="S116" si="43">SUM(Q116,R116)</f>
        <v>124.09480431834065</v>
      </c>
      <c r="T116" s="52">
        <f t="shared" ref="T116" si="44">R116-Q116</f>
        <v>93.305195681659356</v>
      </c>
      <c r="U116" s="79">
        <f t="shared" ref="U116" si="45">R116</f>
        <v>108.7</v>
      </c>
      <c r="V116" s="78">
        <v>10</v>
      </c>
      <c r="W116" s="79">
        <f t="shared" ref="W116" si="46">U116/V116</f>
        <v>10.870000000000001</v>
      </c>
    </row>
    <row r="117" spans="1:23" ht="14.45" customHeight="1">
      <c r="A117" s="53"/>
      <c r="B117" s="68"/>
      <c r="C117" s="68"/>
      <c r="D117" s="68"/>
      <c r="E117" s="192"/>
      <c r="F117" s="193"/>
      <c r="G117" s="194"/>
      <c r="H117" s="195"/>
      <c r="I117" s="196"/>
      <c r="J117" s="193"/>
      <c r="K117" s="185" t="s">
        <v>357</v>
      </c>
      <c r="L117" s="186"/>
      <c r="M117" s="187" t="s">
        <v>361</v>
      </c>
      <c r="N117" s="188"/>
      <c r="O117" s="185" t="s">
        <v>368</v>
      </c>
      <c r="P117" s="186"/>
      <c r="Q117" s="81"/>
      <c r="R117" s="229"/>
      <c r="S117" s="54"/>
      <c r="T117" s="52"/>
      <c r="U117" s="79"/>
      <c r="V117" s="78"/>
      <c r="W117" s="79"/>
    </row>
    <row r="118" spans="1:23" ht="45.75">
      <c r="A118" s="53">
        <v>56</v>
      </c>
      <c r="B118" s="68" t="s">
        <v>369</v>
      </c>
      <c r="C118" s="68" t="s">
        <v>201</v>
      </c>
      <c r="D118" s="68">
        <v>6</v>
      </c>
      <c r="E118" s="50"/>
      <c r="F118" s="50"/>
      <c r="G118" s="49"/>
      <c r="H118" s="49"/>
      <c r="I118" s="50"/>
      <c r="J118" s="50"/>
      <c r="K118" s="49">
        <v>9.9</v>
      </c>
      <c r="L118" s="49">
        <v>59.4</v>
      </c>
      <c r="M118" s="50">
        <v>15.99</v>
      </c>
      <c r="N118" s="50">
        <v>95.94</v>
      </c>
      <c r="O118" s="49">
        <v>13.9</v>
      </c>
      <c r="P118" s="64">
        <v>83.4</v>
      </c>
      <c r="Q118" s="81">
        <f>_xlfn.STDEV.S(L118,N118,P118)</f>
        <v>18.567099935100245</v>
      </c>
      <c r="R118" s="229">
        <f>AVERAGE(L118,N118,P118)</f>
        <v>79.58</v>
      </c>
      <c r="S118" s="54">
        <f t="shared" ref="S118" si="47">SUM(Q118,R118)</f>
        <v>98.147099935100243</v>
      </c>
      <c r="T118" s="52">
        <f t="shared" ref="T118" si="48">R118-Q118</f>
        <v>61.012900064899753</v>
      </c>
      <c r="U118" s="79">
        <f t="shared" ref="U118" si="49">R118</f>
        <v>79.58</v>
      </c>
      <c r="V118" s="78">
        <v>10</v>
      </c>
      <c r="W118" s="79">
        <f t="shared" ref="W118" si="50">U118/V118</f>
        <v>7.9580000000000002</v>
      </c>
    </row>
    <row r="119" spans="1:23" ht="15" customHeight="1">
      <c r="A119" s="53"/>
      <c r="B119" s="68"/>
      <c r="C119" s="68"/>
      <c r="D119" s="68"/>
      <c r="E119" s="178"/>
      <c r="F119" s="179"/>
      <c r="G119" s="183"/>
      <c r="H119" s="184"/>
      <c r="I119" s="182"/>
      <c r="J119" s="179"/>
      <c r="K119" s="185" t="s">
        <v>361</v>
      </c>
      <c r="L119" s="186"/>
      <c r="M119" s="187" t="s">
        <v>370</v>
      </c>
      <c r="N119" s="188"/>
      <c r="O119" s="185" t="s">
        <v>371</v>
      </c>
      <c r="P119" s="186"/>
      <c r="Q119" s="81"/>
      <c r="R119" s="229"/>
      <c r="S119" s="54"/>
      <c r="T119" s="52"/>
      <c r="U119" s="79"/>
      <c r="V119" s="78"/>
      <c r="W119" s="79"/>
    </row>
    <row r="120" spans="1:23" ht="30.75">
      <c r="A120" s="53">
        <v>57</v>
      </c>
      <c r="B120" s="68" t="s">
        <v>372</v>
      </c>
      <c r="C120" s="68" t="s">
        <v>201</v>
      </c>
      <c r="D120" s="68">
        <v>3</v>
      </c>
      <c r="E120" s="50"/>
      <c r="F120" s="50"/>
      <c r="G120" s="49"/>
      <c r="H120" s="49"/>
      <c r="I120" s="50"/>
      <c r="J120" s="50"/>
      <c r="K120" s="49">
        <v>17.600000000000001</v>
      </c>
      <c r="L120" s="49">
        <v>52.8</v>
      </c>
      <c r="M120" s="50">
        <v>13.9</v>
      </c>
      <c r="N120" s="50">
        <v>41.7</v>
      </c>
      <c r="O120" s="49">
        <v>12.66</v>
      </c>
      <c r="P120" s="64">
        <v>37.979999999999997</v>
      </c>
      <c r="Q120" s="81">
        <f>_xlfn.STDEV.S(L120,N120,P120)</f>
        <v>7.710175095288025</v>
      </c>
      <c r="R120" s="229">
        <f>AVERAGE(L120,N120,P120)</f>
        <v>44.16</v>
      </c>
      <c r="S120" s="54">
        <f t="shared" ref="S120" si="51">SUM(Q120,R120)</f>
        <v>51.870175095288019</v>
      </c>
      <c r="T120" s="52">
        <f t="shared" ref="T120" si="52">R120-Q120</f>
        <v>36.449824904711974</v>
      </c>
      <c r="U120" s="79">
        <f t="shared" ref="U120" si="53">R120</f>
        <v>44.16</v>
      </c>
      <c r="V120" s="78">
        <v>10</v>
      </c>
      <c r="W120" s="79">
        <f t="shared" ref="W120" si="54">U120/V120</f>
        <v>4.4159999999999995</v>
      </c>
    </row>
    <row r="121" spans="1:23" ht="15" customHeight="1">
      <c r="A121" s="53"/>
      <c r="B121" s="68"/>
      <c r="C121" s="68"/>
      <c r="D121" s="68"/>
      <c r="E121" s="178"/>
      <c r="F121" s="179"/>
      <c r="G121" s="183"/>
      <c r="H121" s="184"/>
      <c r="I121" s="182"/>
      <c r="J121" s="179"/>
      <c r="K121" s="185" t="s">
        <v>373</v>
      </c>
      <c r="L121" s="186"/>
      <c r="M121" s="187" t="s">
        <v>374</v>
      </c>
      <c r="N121" s="188"/>
      <c r="O121" s="185" t="s">
        <v>375</v>
      </c>
      <c r="P121" s="186"/>
      <c r="Q121" s="81"/>
      <c r="R121" s="229"/>
      <c r="S121" s="54"/>
      <c r="T121" s="52"/>
      <c r="U121" s="79"/>
      <c r="V121" s="78"/>
      <c r="W121" s="79"/>
    </row>
    <row r="122" spans="1:23" ht="275.25">
      <c r="A122" s="53">
        <v>58</v>
      </c>
      <c r="B122" s="69" t="s">
        <v>376</v>
      </c>
      <c r="C122" s="69" t="s">
        <v>201</v>
      </c>
      <c r="D122" s="70">
        <v>2</v>
      </c>
      <c r="E122" s="50"/>
      <c r="F122" s="50"/>
      <c r="G122" s="49"/>
      <c r="H122" s="49"/>
      <c r="I122" s="50"/>
      <c r="J122" s="50"/>
      <c r="K122" s="49">
        <v>2263.5</v>
      </c>
      <c r="L122" s="49">
        <v>4527</v>
      </c>
      <c r="M122" s="50">
        <v>2555.71</v>
      </c>
      <c r="N122" s="50">
        <v>5111.42</v>
      </c>
      <c r="O122" s="49">
        <v>2207.92</v>
      </c>
      <c r="P122" s="64">
        <v>4415.84</v>
      </c>
      <c r="Q122" s="81">
        <f>_xlfn.STDEV.S(L122,N122,P122)</f>
        <v>373.66090206674465</v>
      </c>
      <c r="R122" s="229">
        <f>AVERAGE(L122,N122,P122)</f>
        <v>4684.7533333333331</v>
      </c>
      <c r="S122" s="54">
        <f t="shared" ref="S122" si="55">SUM(Q122,R122)</f>
        <v>5058.4142354000778</v>
      </c>
      <c r="T122" s="52">
        <f t="shared" ref="T122" si="56">R122-Q122</f>
        <v>4311.0924312665884</v>
      </c>
      <c r="U122" s="79">
        <f t="shared" ref="U122" si="57">R122</f>
        <v>4684.7533333333331</v>
      </c>
      <c r="V122" s="78">
        <v>10</v>
      </c>
      <c r="W122" s="79">
        <f t="shared" ref="W122" si="58">U122/V122</f>
        <v>468.47533333333331</v>
      </c>
    </row>
    <row r="123" spans="1:23" ht="15" hidden="1" customHeight="1">
      <c r="A123" s="53"/>
      <c r="B123" s="68"/>
      <c r="C123" s="68"/>
      <c r="D123" s="68"/>
      <c r="E123" s="178"/>
      <c r="F123" s="179"/>
      <c r="G123" s="180"/>
      <c r="H123" s="181"/>
      <c r="I123" s="182"/>
      <c r="J123" s="179"/>
      <c r="K123" s="185" t="s">
        <v>377</v>
      </c>
      <c r="L123" s="186"/>
      <c r="M123" s="187" t="s">
        <v>330</v>
      </c>
      <c r="N123" s="188"/>
      <c r="O123" s="185" t="s">
        <v>375</v>
      </c>
      <c r="P123" s="186"/>
      <c r="Q123" s="81"/>
      <c r="R123" s="229"/>
      <c r="S123" s="54"/>
      <c r="T123" s="52"/>
      <c r="U123" s="79"/>
      <c r="V123" s="78"/>
      <c r="W123" s="79"/>
    </row>
    <row r="124" spans="1:23" ht="231.75" customHeight="1">
      <c r="A124" s="53">
        <v>59</v>
      </c>
      <c r="B124" s="68" t="s">
        <v>378</v>
      </c>
      <c r="C124" s="68" t="s">
        <v>201</v>
      </c>
      <c r="D124" s="68">
        <v>3</v>
      </c>
      <c r="E124" s="50"/>
      <c r="F124" s="50"/>
      <c r="G124" s="49"/>
      <c r="H124" s="49"/>
      <c r="I124" s="50"/>
      <c r="J124" s="50"/>
      <c r="K124" s="49">
        <v>2603</v>
      </c>
      <c r="L124" s="49">
        <v>7809</v>
      </c>
      <c r="M124" s="50">
        <v>2070.7600000000002</v>
      </c>
      <c r="N124" s="50">
        <v>6212.28</v>
      </c>
      <c r="O124" s="49">
        <v>2255.92</v>
      </c>
      <c r="P124" s="64">
        <v>6767.76</v>
      </c>
      <c r="Q124" s="81">
        <f>_xlfn.STDEV.S(L124,N124,P124)</f>
        <v>810.58142983910022</v>
      </c>
      <c r="R124" s="229">
        <f>AVERAGE(L124,N124,P124)</f>
        <v>6929.68</v>
      </c>
      <c r="S124" s="54">
        <f t="shared" ref="S124" si="59">SUM(Q124,R124)</f>
        <v>7740.2614298391009</v>
      </c>
      <c r="T124" s="52">
        <f t="shared" ref="T124" si="60">R124-Q124</f>
        <v>6119.0985701608997</v>
      </c>
      <c r="U124" s="79">
        <f t="shared" ref="U124" si="61">R124</f>
        <v>6929.68</v>
      </c>
      <c r="V124" s="78">
        <v>10</v>
      </c>
      <c r="W124" s="79">
        <f t="shared" ref="W124" si="62">U124/V124</f>
        <v>692.96800000000007</v>
      </c>
    </row>
    <row r="125" spans="1:23" ht="19.5" customHeight="1">
      <c r="A125" s="53"/>
      <c r="B125" s="68"/>
      <c r="C125" s="68"/>
      <c r="D125" s="68"/>
      <c r="E125" s="178"/>
      <c r="F125" s="179"/>
      <c r="G125" s="183"/>
      <c r="H125" s="184"/>
      <c r="I125" s="182"/>
      <c r="J125" s="179"/>
      <c r="K125" s="185" t="s">
        <v>313</v>
      </c>
      <c r="L125" s="186"/>
      <c r="M125" s="187" t="s">
        <v>330</v>
      </c>
      <c r="N125" s="188"/>
      <c r="O125" s="185" t="s">
        <v>379</v>
      </c>
      <c r="P125" s="186"/>
      <c r="Q125" s="81"/>
      <c r="R125" s="229"/>
      <c r="S125" s="54"/>
      <c r="T125" s="52"/>
      <c r="U125" s="79"/>
      <c r="V125" s="78"/>
      <c r="W125" s="79"/>
    </row>
    <row r="126" spans="1:23" ht="409.6">
      <c r="A126" s="53">
        <v>60</v>
      </c>
      <c r="B126" s="68" t="s">
        <v>380</v>
      </c>
      <c r="C126" s="68" t="s">
        <v>201</v>
      </c>
      <c r="D126" s="68">
        <v>3</v>
      </c>
      <c r="E126" s="50"/>
      <c r="F126" s="50"/>
      <c r="G126" s="49"/>
      <c r="H126" s="49"/>
      <c r="I126" s="50"/>
      <c r="J126" s="50"/>
      <c r="K126" s="49">
        <v>465.4</v>
      </c>
      <c r="L126" s="49">
        <v>1396.2</v>
      </c>
      <c r="M126" s="50">
        <v>569.04999999999995</v>
      </c>
      <c r="N126" s="50">
        <v>1707.15</v>
      </c>
      <c r="O126" s="49">
        <v>343.05</v>
      </c>
      <c r="P126" s="64">
        <v>1029.1500000000001</v>
      </c>
      <c r="Q126" s="81">
        <f>_xlfn.STDEV.S(L126,N126,P126)</f>
        <v>339.3866047739665</v>
      </c>
      <c r="R126" s="229">
        <f>AVERAGE(L126,N126,P126)</f>
        <v>1377.5</v>
      </c>
      <c r="S126" s="54">
        <f t="shared" ref="S126" si="63">SUM(Q126,R126)</f>
        <v>1716.8866047739666</v>
      </c>
      <c r="T126" s="52">
        <f t="shared" ref="T126" si="64">R126-Q126</f>
        <v>1038.1133952260334</v>
      </c>
      <c r="U126" s="79">
        <f t="shared" ref="U126" si="65">R126</f>
        <v>1377.5</v>
      </c>
      <c r="V126" s="78">
        <v>10</v>
      </c>
      <c r="W126" s="79">
        <f t="shared" ref="W126" si="66">U126/V126</f>
        <v>137.75</v>
      </c>
    </row>
    <row r="127" spans="1:23" ht="15" customHeight="1">
      <c r="A127" s="53"/>
      <c r="B127" s="68"/>
      <c r="C127" s="68"/>
      <c r="D127" s="68"/>
      <c r="E127" s="65"/>
      <c r="F127" s="45"/>
      <c r="G127" s="44"/>
      <c r="H127" s="44"/>
      <c r="I127" s="45"/>
      <c r="J127" s="45"/>
      <c r="K127" s="165" t="s">
        <v>381</v>
      </c>
      <c r="L127" s="166"/>
      <c r="M127" s="217" t="s">
        <v>382</v>
      </c>
      <c r="N127" s="218"/>
      <c r="O127" s="219" t="s">
        <v>383</v>
      </c>
      <c r="P127" s="220"/>
      <c r="Q127" s="81"/>
      <c r="R127" s="229"/>
      <c r="S127" s="54"/>
      <c r="T127" s="52"/>
      <c r="U127" s="79"/>
      <c r="V127" s="78"/>
      <c r="W127" s="79"/>
    </row>
    <row r="128" spans="1:23" ht="183">
      <c r="A128" s="53">
        <v>61</v>
      </c>
      <c r="B128" s="68" t="s">
        <v>384</v>
      </c>
      <c r="C128" s="68" t="s">
        <v>201</v>
      </c>
      <c r="D128" s="68">
        <v>3</v>
      </c>
      <c r="E128" s="50"/>
      <c r="F128" s="50"/>
      <c r="G128" s="49"/>
      <c r="H128" s="49"/>
      <c r="I128" s="50"/>
      <c r="J128" s="50"/>
      <c r="K128" s="118">
        <v>1308.08</v>
      </c>
      <c r="L128" s="118">
        <f>K128*D128</f>
        <v>3924.24</v>
      </c>
      <c r="M128" s="119">
        <v>1224.72</v>
      </c>
      <c r="N128" s="119">
        <v>3674.16</v>
      </c>
      <c r="O128" s="49">
        <v>990</v>
      </c>
      <c r="P128" s="64">
        <v>2970</v>
      </c>
      <c r="Q128" s="81">
        <f>_xlfn.STDEV.S(L128,N128,P128)</f>
        <v>494.79882942464604</v>
      </c>
      <c r="R128" s="229">
        <f>AVERAGE(L128,N128,P128)</f>
        <v>3522.7999999999997</v>
      </c>
      <c r="S128" s="54">
        <f t="shared" ref="S128" si="67">SUM(Q128,R128)</f>
        <v>4017.5988294246458</v>
      </c>
      <c r="T128" s="52">
        <f t="shared" ref="T128" si="68">R128-Q128</f>
        <v>3028.0011705753536</v>
      </c>
      <c r="U128" s="79">
        <f t="shared" ref="U128" si="69">R128</f>
        <v>3522.7999999999997</v>
      </c>
      <c r="V128" s="78">
        <v>10</v>
      </c>
      <c r="W128" s="79">
        <f t="shared" ref="W128" si="70">U128/V128</f>
        <v>352.28</v>
      </c>
    </row>
    <row r="129" spans="1:23" ht="38.25" customHeight="1">
      <c r="A129" s="163">
        <v>62</v>
      </c>
      <c r="B129" s="68"/>
      <c r="C129" s="68"/>
      <c r="D129" s="68"/>
      <c r="E129" s="172"/>
      <c r="F129" s="173"/>
      <c r="G129" s="174"/>
      <c r="H129" s="175"/>
      <c r="I129" s="176"/>
      <c r="J129" s="177"/>
      <c r="K129" s="165" t="s">
        <v>385</v>
      </c>
      <c r="L129" s="166"/>
      <c r="M129" s="161" t="s">
        <v>386</v>
      </c>
      <c r="N129" s="162"/>
      <c r="O129" s="185" t="s">
        <v>387</v>
      </c>
      <c r="P129" s="186"/>
      <c r="Q129" s="81"/>
      <c r="R129" s="229"/>
      <c r="S129" s="54"/>
      <c r="T129" s="52"/>
      <c r="U129" s="79"/>
      <c r="V129" s="78"/>
      <c r="W129" s="79"/>
    </row>
    <row r="130" spans="1:23" ht="121.5">
      <c r="A130" s="164"/>
      <c r="B130" s="69" t="s">
        <v>388</v>
      </c>
      <c r="C130" s="69" t="s">
        <v>201</v>
      </c>
      <c r="D130" s="69">
        <v>1</v>
      </c>
      <c r="E130" s="74"/>
      <c r="F130" s="74"/>
      <c r="G130" s="75"/>
      <c r="H130" s="75"/>
      <c r="I130" s="74"/>
      <c r="J130" s="74"/>
      <c r="K130" s="120">
        <v>1688.9</v>
      </c>
      <c r="L130" s="120">
        <f>K130*D130</f>
        <v>1688.9</v>
      </c>
      <c r="M130" s="121">
        <v>922.36</v>
      </c>
      <c r="N130" s="121">
        <f>M130*D130</f>
        <v>922.36</v>
      </c>
      <c r="O130" s="75">
        <v>1750</v>
      </c>
      <c r="P130" s="76">
        <v>1750</v>
      </c>
      <c r="Q130" s="229">
        <f>_xlfn.STDEV.S(L130,N130,P130)</f>
        <v>461.21302944879295</v>
      </c>
      <c r="R130" s="229">
        <f>AVERAGE(L130,N130,P130)</f>
        <v>1453.7533333333333</v>
      </c>
      <c r="S130" s="73">
        <f t="shared" ref="S130" si="71">SUM(Q130,R130)</f>
        <v>1914.9663627821262</v>
      </c>
      <c r="T130" s="77">
        <f t="shared" ref="T130" si="72">R130-Q130</f>
        <v>992.54030388454044</v>
      </c>
      <c r="U130" s="82">
        <f t="shared" ref="U130" si="73">R130</f>
        <v>1453.7533333333333</v>
      </c>
      <c r="V130" s="80">
        <v>10</v>
      </c>
      <c r="W130" s="79">
        <f t="shared" ref="W130" si="74">U130/V130</f>
        <v>145.37533333333334</v>
      </c>
    </row>
    <row r="131" spans="1:23" ht="14.45" customHeight="1">
      <c r="A131" s="189" t="s">
        <v>389</v>
      </c>
      <c r="B131" s="190"/>
      <c r="C131" s="190"/>
      <c r="D131" s="190"/>
      <c r="E131" s="190"/>
      <c r="F131" s="190"/>
      <c r="G131" s="190"/>
      <c r="H131" s="190"/>
      <c r="I131" s="190"/>
      <c r="J131" s="190"/>
      <c r="K131" s="190"/>
      <c r="L131" s="190"/>
      <c r="M131" s="190"/>
      <c r="N131" s="190"/>
      <c r="O131" s="190"/>
      <c r="P131" s="190"/>
      <c r="Q131" s="190"/>
      <c r="R131" s="190"/>
      <c r="S131" s="190"/>
      <c r="T131" s="190"/>
      <c r="U131" s="190"/>
      <c r="V131" s="191"/>
      <c r="W131" s="109">
        <f>SUM(W8:W130)</f>
        <v>76979.012730158691</v>
      </c>
    </row>
    <row r="132" spans="1:23" ht="15">
      <c r="A132" s="189" t="s">
        <v>390</v>
      </c>
      <c r="B132" s="190"/>
      <c r="C132" s="190"/>
      <c r="D132" s="190"/>
      <c r="E132" s="190"/>
      <c r="F132" s="190"/>
      <c r="G132" s="190"/>
      <c r="H132" s="190"/>
      <c r="I132" s="190"/>
      <c r="J132" s="190"/>
      <c r="K132" s="190"/>
      <c r="L132" s="190"/>
      <c r="M132" s="190"/>
      <c r="N132" s="190"/>
      <c r="O132" s="190"/>
      <c r="P132" s="190"/>
      <c r="Q132" s="190"/>
      <c r="R132" s="190"/>
      <c r="S132" s="190"/>
      <c r="T132" s="190"/>
      <c r="U132" s="190"/>
      <c r="V132" s="191"/>
      <c r="W132" s="109">
        <f>W131/12</f>
        <v>6414.9177275132242</v>
      </c>
    </row>
    <row r="133" spans="1:23" ht="15">
      <c r="A133" s="189" t="s">
        <v>391</v>
      </c>
      <c r="B133" s="190"/>
      <c r="C133" s="190"/>
      <c r="D133" s="190"/>
      <c r="E133" s="190"/>
      <c r="F133" s="190"/>
      <c r="G133" s="190"/>
      <c r="H133" s="190"/>
      <c r="I133" s="190"/>
      <c r="J133" s="190"/>
      <c r="K133" s="190"/>
      <c r="L133" s="190"/>
      <c r="M133" s="190"/>
      <c r="N133" s="190"/>
      <c r="O133" s="190"/>
      <c r="P133" s="190"/>
      <c r="Q133" s="190"/>
      <c r="R133" s="190"/>
      <c r="S133" s="190"/>
      <c r="T133" s="190"/>
      <c r="U133" s="190"/>
      <c r="V133" s="191"/>
      <c r="W133" s="109">
        <f>W132/1</f>
        <v>6414.9177275132242</v>
      </c>
    </row>
    <row r="134" spans="1:23" ht="15"/>
  </sheetData>
  <mergeCells count="386">
    <mergeCell ref="V3:V6"/>
    <mergeCell ref="W3:W6"/>
    <mergeCell ref="K123:L123"/>
    <mergeCell ref="M123:N123"/>
    <mergeCell ref="O123:P123"/>
    <mergeCell ref="E11:F11"/>
    <mergeCell ref="G11:H11"/>
    <mergeCell ref="I11:J11"/>
    <mergeCell ref="K11:L11"/>
    <mergeCell ref="M11:N11"/>
    <mergeCell ref="O11:P11"/>
    <mergeCell ref="E13:F13"/>
    <mergeCell ref="G13:H13"/>
    <mergeCell ref="I13:J13"/>
    <mergeCell ref="K13:L13"/>
    <mergeCell ref="M13:N13"/>
    <mergeCell ref="O13:P13"/>
    <mergeCell ref="E7:F7"/>
    <mergeCell ref="G7:H7"/>
    <mergeCell ref="I7:J7"/>
    <mergeCell ref="E9:F9"/>
    <mergeCell ref="G9:H9"/>
    <mergeCell ref="I9:J9"/>
    <mergeCell ref="K9:L9"/>
    <mergeCell ref="M9:N9"/>
    <mergeCell ref="O9:P9"/>
    <mergeCell ref="K7:L7"/>
    <mergeCell ref="M7:N7"/>
    <mergeCell ref="O7:P7"/>
    <mergeCell ref="E15:F15"/>
    <mergeCell ref="G15:H15"/>
    <mergeCell ref="I15:J15"/>
    <mergeCell ref="K15:L15"/>
    <mergeCell ref="M15:N15"/>
    <mergeCell ref="O15:P15"/>
    <mergeCell ref="E17:F17"/>
    <mergeCell ref="G17:H17"/>
    <mergeCell ref="I17:J17"/>
    <mergeCell ref="K17:L17"/>
    <mergeCell ref="M17:N17"/>
    <mergeCell ref="O17:P17"/>
    <mergeCell ref="E19:F19"/>
    <mergeCell ref="G19:H19"/>
    <mergeCell ref="I19:J19"/>
    <mergeCell ref="K19:L19"/>
    <mergeCell ref="M19:N19"/>
    <mergeCell ref="O19:P19"/>
    <mergeCell ref="E21:F21"/>
    <mergeCell ref="G21:H21"/>
    <mergeCell ref="I21:J21"/>
    <mergeCell ref="K21:L21"/>
    <mergeCell ref="M21:N21"/>
    <mergeCell ref="O21:P21"/>
    <mergeCell ref="E23:F23"/>
    <mergeCell ref="G23:H23"/>
    <mergeCell ref="I23:J23"/>
    <mergeCell ref="K23:L23"/>
    <mergeCell ref="M23:N23"/>
    <mergeCell ref="O23:P23"/>
    <mergeCell ref="E25:F25"/>
    <mergeCell ref="G25:H25"/>
    <mergeCell ref="I25:J25"/>
    <mergeCell ref="K25:L25"/>
    <mergeCell ref="M25:N25"/>
    <mergeCell ref="O25:P25"/>
    <mergeCell ref="E27:F27"/>
    <mergeCell ref="G27:H27"/>
    <mergeCell ref="I27:J27"/>
    <mergeCell ref="K27:L27"/>
    <mergeCell ref="M27:N27"/>
    <mergeCell ref="O27:P27"/>
    <mergeCell ref="E29:F29"/>
    <mergeCell ref="G29:H29"/>
    <mergeCell ref="I29:J29"/>
    <mergeCell ref="K29:L29"/>
    <mergeCell ref="M29:N29"/>
    <mergeCell ref="O29:P29"/>
    <mergeCell ref="E31:F31"/>
    <mergeCell ref="G31:H31"/>
    <mergeCell ref="I31:J31"/>
    <mergeCell ref="K31:L31"/>
    <mergeCell ref="M31:N31"/>
    <mergeCell ref="O31:P31"/>
    <mergeCell ref="E33:F33"/>
    <mergeCell ref="G33:H33"/>
    <mergeCell ref="I33:J33"/>
    <mergeCell ref="K33:L33"/>
    <mergeCell ref="M33:N33"/>
    <mergeCell ref="O33:P33"/>
    <mergeCell ref="E35:F35"/>
    <mergeCell ref="G35:H35"/>
    <mergeCell ref="I35:J35"/>
    <mergeCell ref="K35:L35"/>
    <mergeCell ref="M35:N35"/>
    <mergeCell ref="O35:P35"/>
    <mergeCell ref="E37:F37"/>
    <mergeCell ref="G37:H37"/>
    <mergeCell ref="I37:J37"/>
    <mergeCell ref="K37:L37"/>
    <mergeCell ref="M37:N37"/>
    <mergeCell ref="O37:P37"/>
    <mergeCell ref="E39:F39"/>
    <mergeCell ref="G39:H39"/>
    <mergeCell ref="I39:J39"/>
    <mergeCell ref="K39:L39"/>
    <mergeCell ref="M39:N39"/>
    <mergeCell ref="O39:P39"/>
    <mergeCell ref="E41:F41"/>
    <mergeCell ref="G41:H41"/>
    <mergeCell ref="I41:J41"/>
    <mergeCell ref="K41:L41"/>
    <mergeCell ref="M41:N41"/>
    <mergeCell ref="O41:P41"/>
    <mergeCell ref="E43:F43"/>
    <mergeCell ref="G43:H43"/>
    <mergeCell ref="I43:J43"/>
    <mergeCell ref="K43:L43"/>
    <mergeCell ref="M43:N43"/>
    <mergeCell ref="O43:P43"/>
    <mergeCell ref="E45:F45"/>
    <mergeCell ref="G45:H45"/>
    <mergeCell ref="I45:J45"/>
    <mergeCell ref="K45:L45"/>
    <mergeCell ref="M45:N45"/>
    <mergeCell ref="O45:P45"/>
    <mergeCell ref="E47:F47"/>
    <mergeCell ref="G47:H47"/>
    <mergeCell ref="I47:J47"/>
    <mergeCell ref="K47:L47"/>
    <mergeCell ref="M47:N47"/>
    <mergeCell ref="O47:P47"/>
    <mergeCell ref="E49:F49"/>
    <mergeCell ref="G49:H49"/>
    <mergeCell ref="I49:J49"/>
    <mergeCell ref="K49:L49"/>
    <mergeCell ref="M49:N49"/>
    <mergeCell ref="O49:P49"/>
    <mergeCell ref="E51:F51"/>
    <mergeCell ref="G51:H51"/>
    <mergeCell ref="I51:J51"/>
    <mergeCell ref="K51:L51"/>
    <mergeCell ref="M51:N51"/>
    <mergeCell ref="O51:P51"/>
    <mergeCell ref="E53:F53"/>
    <mergeCell ref="G53:H53"/>
    <mergeCell ref="I53:J53"/>
    <mergeCell ref="K53:L53"/>
    <mergeCell ref="M53:N53"/>
    <mergeCell ref="O53:P53"/>
    <mergeCell ref="E55:F55"/>
    <mergeCell ref="G55:H55"/>
    <mergeCell ref="I55:J55"/>
    <mergeCell ref="K55:L55"/>
    <mergeCell ref="M55:N55"/>
    <mergeCell ref="O55:P55"/>
    <mergeCell ref="E57:F57"/>
    <mergeCell ref="G57:H57"/>
    <mergeCell ref="I57:J57"/>
    <mergeCell ref="K57:L57"/>
    <mergeCell ref="M57:N57"/>
    <mergeCell ref="O57:P57"/>
    <mergeCell ref="E59:F59"/>
    <mergeCell ref="G59:H59"/>
    <mergeCell ref="I59:J59"/>
    <mergeCell ref="K59:L59"/>
    <mergeCell ref="M59:N59"/>
    <mergeCell ref="O59:P59"/>
    <mergeCell ref="E61:F61"/>
    <mergeCell ref="G61:H61"/>
    <mergeCell ref="I61:J61"/>
    <mergeCell ref="K61:L61"/>
    <mergeCell ref="M61:N61"/>
    <mergeCell ref="O61:P61"/>
    <mergeCell ref="E63:F63"/>
    <mergeCell ref="G63:H63"/>
    <mergeCell ref="I63:J63"/>
    <mergeCell ref="K63:L63"/>
    <mergeCell ref="M63:N63"/>
    <mergeCell ref="O63:P63"/>
    <mergeCell ref="E65:F65"/>
    <mergeCell ref="G65:H65"/>
    <mergeCell ref="I65:J65"/>
    <mergeCell ref="K65:L65"/>
    <mergeCell ref="M65:N65"/>
    <mergeCell ref="O65:P65"/>
    <mergeCell ref="E67:F67"/>
    <mergeCell ref="G67:H67"/>
    <mergeCell ref="I67:J67"/>
    <mergeCell ref="K67:L67"/>
    <mergeCell ref="M67:N67"/>
    <mergeCell ref="O67:P67"/>
    <mergeCell ref="E69:F69"/>
    <mergeCell ref="G69:H69"/>
    <mergeCell ref="I69:J69"/>
    <mergeCell ref="K69:L69"/>
    <mergeCell ref="M69:N69"/>
    <mergeCell ref="O69:P69"/>
    <mergeCell ref="E71:F71"/>
    <mergeCell ref="G71:H71"/>
    <mergeCell ref="I71:J71"/>
    <mergeCell ref="K71:L71"/>
    <mergeCell ref="M71:N71"/>
    <mergeCell ref="O71:P71"/>
    <mergeCell ref="E73:F73"/>
    <mergeCell ref="G73:H73"/>
    <mergeCell ref="I73:J73"/>
    <mergeCell ref="K73:L73"/>
    <mergeCell ref="M73:N73"/>
    <mergeCell ref="O73:P73"/>
    <mergeCell ref="E75:F75"/>
    <mergeCell ref="G75:H75"/>
    <mergeCell ref="I75:J75"/>
    <mergeCell ref="K75:L75"/>
    <mergeCell ref="O75:P75"/>
    <mergeCell ref="E77:F77"/>
    <mergeCell ref="G77:H77"/>
    <mergeCell ref="I77:J77"/>
    <mergeCell ref="K77:L77"/>
    <mergeCell ref="M77:N77"/>
    <mergeCell ref="O77:P77"/>
    <mergeCell ref="M75:N75"/>
    <mergeCell ref="E79:F79"/>
    <mergeCell ref="G79:H79"/>
    <mergeCell ref="I79:J79"/>
    <mergeCell ref="K79:L79"/>
    <mergeCell ref="M79:N79"/>
    <mergeCell ref="O79:P79"/>
    <mergeCell ref="E81:F81"/>
    <mergeCell ref="G81:H81"/>
    <mergeCell ref="I81:J81"/>
    <mergeCell ref="K81:L81"/>
    <mergeCell ref="M81:N81"/>
    <mergeCell ref="O81:P81"/>
    <mergeCell ref="E83:F83"/>
    <mergeCell ref="G83:H83"/>
    <mergeCell ref="I83:J83"/>
    <mergeCell ref="K83:L83"/>
    <mergeCell ref="M83:N83"/>
    <mergeCell ref="O83:P83"/>
    <mergeCell ref="E85:F85"/>
    <mergeCell ref="G85:H85"/>
    <mergeCell ref="I85:J85"/>
    <mergeCell ref="K85:L85"/>
    <mergeCell ref="M85:N85"/>
    <mergeCell ref="O85:P85"/>
    <mergeCell ref="E87:F87"/>
    <mergeCell ref="G87:H87"/>
    <mergeCell ref="I87:J87"/>
    <mergeCell ref="K87:L87"/>
    <mergeCell ref="M87:N87"/>
    <mergeCell ref="O87:P87"/>
    <mergeCell ref="E89:F89"/>
    <mergeCell ref="G89:H89"/>
    <mergeCell ref="I89:J89"/>
    <mergeCell ref="K89:L89"/>
    <mergeCell ref="M89:N89"/>
    <mergeCell ref="O89:P89"/>
    <mergeCell ref="E91:F91"/>
    <mergeCell ref="G91:H91"/>
    <mergeCell ref="I91:J91"/>
    <mergeCell ref="K91:L91"/>
    <mergeCell ref="M91:N91"/>
    <mergeCell ref="O91:P91"/>
    <mergeCell ref="E93:F93"/>
    <mergeCell ref="G93:H93"/>
    <mergeCell ref="I93:J93"/>
    <mergeCell ref="K93:L93"/>
    <mergeCell ref="M93:N93"/>
    <mergeCell ref="O93:P93"/>
    <mergeCell ref="E95:F95"/>
    <mergeCell ref="G95:H95"/>
    <mergeCell ref="I95:J95"/>
    <mergeCell ref="K95:L95"/>
    <mergeCell ref="M95:N95"/>
    <mergeCell ref="O95:P95"/>
    <mergeCell ref="E97:F97"/>
    <mergeCell ref="G97:H97"/>
    <mergeCell ref="I97:J97"/>
    <mergeCell ref="K97:L97"/>
    <mergeCell ref="M97:N97"/>
    <mergeCell ref="O97:P97"/>
    <mergeCell ref="E99:F99"/>
    <mergeCell ref="G99:H99"/>
    <mergeCell ref="I99:J99"/>
    <mergeCell ref="K99:L99"/>
    <mergeCell ref="M99:N99"/>
    <mergeCell ref="O99:P99"/>
    <mergeCell ref="E101:F101"/>
    <mergeCell ref="G101:H101"/>
    <mergeCell ref="I101:J101"/>
    <mergeCell ref="K101:L101"/>
    <mergeCell ref="M101:N101"/>
    <mergeCell ref="O101:P101"/>
    <mergeCell ref="E103:F103"/>
    <mergeCell ref="G103:H103"/>
    <mergeCell ref="I103:J103"/>
    <mergeCell ref="K103:L103"/>
    <mergeCell ref="M103:N103"/>
    <mergeCell ref="O103:P103"/>
    <mergeCell ref="E105:F105"/>
    <mergeCell ref="G105:H105"/>
    <mergeCell ref="I105:J105"/>
    <mergeCell ref="K105:L105"/>
    <mergeCell ref="M105:N105"/>
    <mergeCell ref="O105:P105"/>
    <mergeCell ref="E107:F107"/>
    <mergeCell ref="G107:H107"/>
    <mergeCell ref="I107:J107"/>
    <mergeCell ref="K107:L107"/>
    <mergeCell ref="M107:N107"/>
    <mergeCell ref="O107:P107"/>
    <mergeCell ref="E109:F109"/>
    <mergeCell ref="G109:H109"/>
    <mergeCell ref="I109:J109"/>
    <mergeCell ref="K109:L109"/>
    <mergeCell ref="M109:N109"/>
    <mergeCell ref="O109:P109"/>
    <mergeCell ref="E111:F111"/>
    <mergeCell ref="G111:H111"/>
    <mergeCell ref="I111:J111"/>
    <mergeCell ref="K111:L111"/>
    <mergeCell ref="M111:N111"/>
    <mergeCell ref="O111:P111"/>
    <mergeCell ref="E113:F113"/>
    <mergeCell ref="G113:H113"/>
    <mergeCell ref="I113:J113"/>
    <mergeCell ref="K113:L113"/>
    <mergeCell ref="M113:N113"/>
    <mergeCell ref="O113:P113"/>
    <mergeCell ref="E115:F115"/>
    <mergeCell ref="G115:H115"/>
    <mergeCell ref="I115:J115"/>
    <mergeCell ref="K115:L115"/>
    <mergeCell ref="M115:N115"/>
    <mergeCell ref="O115:P115"/>
    <mergeCell ref="E117:F117"/>
    <mergeCell ref="G117:H117"/>
    <mergeCell ref="I117:J117"/>
    <mergeCell ref="K117:L117"/>
    <mergeCell ref="M117:N117"/>
    <mergeCell ref="O117:P117"/>
    <mergeCell ref="K125:L125"/>
    <mergeCell ref="M125:N125"/>
    <mergeCell ref="O125:P125"/>
    <mergeCell ref="A131:V131"/>
    <mergeCell ref="A132:V132"/>
    <mergeCell ref="A133:V133"/>
    <mergeCell ref="E119:F119"/>
    <mergeCell ref="G119:H119"/>
    <mergeCell ref="I119:J119"/>
    <mergeCell ref="K119:L119"/>
    <mergeCell ref="M119:N119"/>
    <mergeCell ref="O119:P119"/>
    <mergeCell ref="E121:F121"/>
    <mergeCell ref="G121:H121"/>
    <mergeCell ref="I121:J121"/>
    <mergeCell ref="K121:L121"/>
    <mergeCell ref="M121:N121"/>
    <mergeCell ref="O121:P121"/>
    <mergeCell ref="O129:P129"/>
    <mergeCell ref="M127:N127"/>
    <mergeCell ref="O127:P127"/>
    <mergeCell ref="A1:U1"/>
    <mergeCell ref="A3:A6"/>
    <mergeCell ref="B3:B6"/>
    <mergeCell ref="C3:C6"/>
    <mergeCell ref="D3:D6"/>
    <mergeCell ref="E3:O4"/>
    <mergeCell ref="Q3:T4"/>
    <mergeCell ref="U3:U6"/>
    <mergeCell ref="M129:N129"/>
    <mergeCell ref="A129:A130"/>
    <mergeCell ref="K127:L127"/>
    <mergeCell ref="E5:J5"/>
    <mergeCell ref="K5:P5"/>
    <mergeCell ref="Q5:T5"/>
    <mergeCell ref="E129:F129"/>
    <mergeCell ref="G129:H129"/>
    <mergeCell ref="I129:J129"/>
    <mergeCell ref="K129:L129"/>
    <mergeCell ref="E123:F123"/>
    <mergeCell ref="G123:H123"/>
    <mergeCell ref="I123:J123"/>
    <mergeCell ref="E125:F125"/>
    <mergeCell ref="G125:H125"/>
    <mergeCell ref="I125:J125"/>
  </mergeCells>
  <pageMargins left="0.511811024" right="0.511811024" top="0.78740157499999996" bottom="0.78740157499999996" header="0.31496062000000002" footer="0.31496062000000002"/>
  <pageSetup paperSize="9" scale="2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3FABD7-037E-4F6F-A8B1-2FB422D0A757}">
  <sheetPr>
    <tabColor theme="4" tint="-0.249977111117893"/>
    <pageSetUpPr fitToPage="1"/>
  </sheetPr>
  <dimension ref="A1:ALQ66"/>
  <sheetViews>
    <sheetView showGridLines="0" topLeftCell="A13" zoomScale="85" zoomScaleNormal="85" workbookViewId="0">
      <selection activeCell="B48" sqref="B48"/>
    </sheetView>
  </sheetViews>
  <sheetFormatPr defaultRowHeight="14.45"/>
  <cols>
    <col min="1" max="1" width="53.28515625" style="12" customWidth="1"/>
    <col min="2" max="8" width="17.85546875" style="12" customWidth="1"/>
    <col min="9" max="992" width="9.140625" style="12"/>
    <col min="993" max="1006" width="8.7109375" customWidth="1"/>
  </cols>
  <sheetData>
    <row r="1" spans="1:1005" ht="13.9" customHeight="1"/>
    <row r="2" spans="1:1005" s="13" customFormat="1" ht="88.5" customHeight="1">
      <c r="A2" s="1" t="s">
        <v>28</v>
      </c>
      <c r="B2" s="1" t="s">
        <v>392</v>
      </c>
      <c r="C2" s="1" t="s">
        <v>393</v>
      </c>
      <c r="D2" s="1" t="s">
        <v>394</v>
      </c>
      <c r="E2" s="1" t="s">
        <v>395</v>
      </c>
      <c r="F2" s="1" t="s">
        <v>396</v>
      </c>
      <c r="G2" s="1" t="s">
        <v>397</v>
      </c>
      <c r="H2" s="1" t="s">
        <v>398</v>
      </c>
      <c r="ALE2" s="14"/>
      <c r="ALF2" s="14"/>
      <c r="ALG2" s="14"/>
      <c r="ALH2" s="14"/>
      <c r="ALI2" s="14"/>
      <c r="ALJ2" s="14"/>
      <c r="ALK2" s="14"/>
      <c r="ALL2" s="14"/>
      <c r="ALM2" s="14"/>
      <c r="ALN2" s="14"/>
      <c r="ALO2" s="14"/>
      <c r="ALP2" s="14"/>
      <c r="ALQ2"/>
    </row>
    <row r="3" spans="1:1005" s="15" customFormat="1" ht="59.25" customHeight="1">
      <c r="A3" s="21" t="s">
        <v>399</v>
      </c>
      <c r="B3" s="17" t="s">
        <v>400</v>
      </c>
      <c r="C3" s="111">
        <v>201.04</v>
      </c>
      <c r="D3" s="111">
        <v>92.53</v>
      </c>
      <c r="E3" s="111">
        <v>95.62</v>
      </c>
      <c r="F3" s="111">
        <v>70.28</v>
      </c>
      <c r="G3" s="111">
        <v>99.73</v>
      </c>
      <c r="H3" s="111">
        <v>82.19</v>
      </c>
      <c r="ALE3" s="16"/>
      <c r="ALF3" s="16"/>
      <c r="ALG3" s="16"/>
      <c r="ALH3" s="16"/>
      <c r="ALI3" s="16"/>
      <c r="ALJ3" s="16"/>
      <c r="ALK3" s="16"/>
      <c r="ALL3" s="16"/>
      <c r="ALM3" s="16"/>
      <c r="ALN3" s="16"/>
      <c r="ALO3" s="16"/>
      <c r="ALP3" s="16"/>
      <c r="ALQ3"/>
    </row>
    <row r="4" spans="1:1005" ht="15">
      <c r="C4" s="84"/>
      <c r="D4" s="85"/>
      <c r="E4" s="84"/>
      <c r="F4" s="84"/>
    </row>
    <row r="5" spans="1:1005" ht="15">
      <c r="A5" s="1" t="s">
        <v>401</v>
      </c>
      <c r="B5" s="35">
        <f>AVERAGE(C3:H3)</f>
        <v>106.89833333333335</v>
      </c>
    </row>
    <row r="6" spans="1:1005" ht="15">
      <c r="A6" s="1" t="s">
        <v>402</v>
      </c>
      <c r="B6" s="35">
        <f>_xlfn.STDEV.S(C3:H3)</f>
        <v>47.326720324428386</v>
      </c>
      <c r="G6" s="28" t="s">
        <v>403</v>
      </c>
      <c r="H6" s="13">
        <f>COUNTIFS(C3:H3,"&gt;="&amp;B7,C3:H3,"&lt;="&amp;B8)</f>
        <v>5</v>
      </c>
    </row>
    <row r="7" spans="1:1005" ht="15">
      <c r="A7" s="1" t="s">
        <v>404</v>
      </c>
      <c r="B7" s="35">
        <f>B5-B6</f>
        <v>59.571613008904968</v>
      </c>
      <c r="G7" s="28" t="s">
        <v>405</v>
      </c>
      <c r="H7" s="38">
        <f>_xlfn.STDEV.S(C3,E3,G3,H3)</f>
        <v>54.777826718481613</v>
      </c>
    </row>
    <row r="8" spans="1:1005">
      <c r="A8" s="1" t="s">
        <v>406</v>
      </c>
      <c r="B8" s="35">
        <f>B5+B6</f>
        <v>154.22505365776175</v>
      </c>
      <c r="G8" s="28" t="s">
        <v>407</v>
      </c>
      <c r="H8" s="37">
        <f>H7/(AVERAGE(C3,E3,G3,H3))</f>
        <v>0.4578363217725907</v>
      </c>
    </row>
    <row r="9" spans="1:1005">
      <c r="A9" s="1" t="s">
        <v>408</v>
      </c>
      <c r="B9" s="36">
        <f>AVERAGEIFS(C3:H3,C3:H3,"&lt;="&amp;B8,C3:H3,"&gt;="&amp;B7)</f>
        <v>88.070000000000007</v>
      </c>
      <c r="G9" s="28" t="s">
        <v>409</v>
      </c>
      <c r="H9" s="13" t="str">
        <f>IF(H8&gt;=25%,"Mediana","Média")</f>
        <v>Mediana</v>
      </c>
    </row>
    <row r="10" spans="1:1005">
      <c r="A10" s="1" t="s">
        <v>410</v>
      </c>
      <c r="B10" s="36">
        <f>MEDIAN(C3,E3,G3,H3)</f>
        <v>97.675000000000011</v>
      </c>
    </row>
    <row r="12" spans="1:1005">
      <c r="A12" s="135" t="s">
        <v>411</v>
      </c>
      <c r="B12" s="135"/>
    </row>
    <row r="13" spans="1:1005">
      <c r="A13" s="9" t="s">
        <v>412</v>
      </c>
      <c r="B13" s="18">
        <f>B9*6</f>
        <v>528.42000000000007</v>
      </c>
    </row>
    <row r="14" spans="1:1005">
      <c r="A14" s="9" t="s">
        <v>413</v>
      </c>
      <c r="B14" s="19">
        <f>B13/30</f>
        <v>17.614000000000001</v>
      </c>
    </row>
    <row r="15" spans="1:1005" ht="15">
      <c r="B15" s="95"/>
    </row>
    <row r="17" spans="1:1005" ht="15"/>
    <row r="18" spans="1:1005" ht="15">
      <c r="B18" s="225" t="s">
        <v>414</v>
      </c>
      <c r="C18" s="226"/>
      <c r="D18" s="227"/>
    </row>
    <row r="19" spans="1:1005" s="13" customFormat="1" ht="48.75" customHeight="1">
      <c r="A19" s="1" t="s">
        <v>29</v>
      </c>
      <c r="B19" s="113" t="s">
        <v>392</v>
      </c>
      <c r="C19" s="114" t="s">
        <v>415</v>
      </c>
      <c r="D19" s="113" t="s">
        <v>416</v>
      </c>
      <c r="E19" s="87" t="s">
        <v>417</v>
      </c>
      <c r="F19" s="108" t="s">
        <v>418</v>
      </c>
      <c r="G19" s="108" t="s">
        <v>419</v>
      </c>
      <c r="H19" s="108" t="s">
        <v>420</v>
      </c>
      <c r="ALE19" s="14"/>
      <c r="ALF19" s="14"/>
      <c r="ALG19" s="14"/>
      <c r="ALH19" s="14"/>
      <c r="ALI19" s="14"/>
      <c r="ALJ19" s="14"/>
      <c r="ALK19" s="14"/>
      <c r="ALL19" s="14"/>
      <c r="ALM19" s="14"/>
      <c r="ALN19" s="14"/>
      <c r="ALO19" s="14"/>
      <c r="ALP19" s="14"/>
      <c r="ALQ19"/>
    </row>
    <row r="20" spans="1:1005" s="15" customFormat="1" ht="59.25" customHeight="1">
      <c r="A20" s="21" t="s">
        <v>399</v>
      </c>
      <c r="B20" s="17" t="s">
        <v>400</v>
      </c>
      <c r="C20" s="111">
        <v>0</v>
      </c>
      <c r="D20" s="112">
        <v>0</v>
      </c>
      <c r="E20" s="111">
        <v>0</v>
      </c>
      <c r="F20" s="111">
        <v>0</v>
      </c>
      <c r="G20" s="111">
        <v>0</v>
      </c>
      <c r="H20" s="111">
        <v>0</v>
      </c>
      <c r="ALE20" s="16"/>
      <c r="ALF20" s="16"/>
      <c r="ALG20" s="16"/>
      <c r="ALH20" s="16"/>
      <c r="ALI20" s="16"/>
      <c r="ALJ20" s="16"/>
      <c r="ALK20" s="16"/>
      <c r="ALL20" s="16"/>
      <c r="ALM20" s="16"/>
      <c r="ALN20" s="16"/>
      <c r="ALO20" s="16"/>
      <c r="ALP20" s="16"/>
      <c r="ALQ20"/>
    </row>
    <row r="22" spans="1:1005" ht="15">
      <c r="A22" s="1" t="s">
        <v>401</v>
      </c>
      <c r="B22" s="35">
        <v>0</v>
      </c>
    </row>
    <row r="23" spans="1:1005" ht="15">
      <c r="A23" s="1" t="s">
        <v>402</v>
      </c>
      <c r="B23" s="35">
        <v>0</v>
      </c>
      <c r="G23" s="28" t="s">
        <v>403</v>
      </c>
      <c r="H23" s="13">
        <v>0</v>
      </c>
    </row>
    <row r="24" spans="1:1005" ht="15">
      <c r="A24" s="1" t="s">
        <v>404</v>
      </c>
      <c r="B24" s="35">
        <v>0</v>
      </c>
      <c r="G24" s="28" t="s">
        <v>405</v>
      </c>
      <c r="H24" s="39">
        <f>_xlfn.STDEV.S(C20,E20,F20,G20,H20)</f>
        <v>0</v>
      </c>
    </row>
    <row r="25" spans="1:1005" ht="15">
      <c r="A25" s="1" t="s">
        <v>406</v>
      </c>
      <c r="B25" s="35">
        <f>B22+B23</f>
        <v>0</v>
      </c>
      <c r="G25" s="28" t="s">
        <v>407</v>
      </c>
      <c r="H25" s="37" t="e">
        <f>H24/(AVERAGE(C20,E20,F20,G20,H20))</f>
        <v>#DIV/0!</v>
      </c>
    </row>
    <row r="26" spans="1:1005" ht="15">
      <c r="A26" s="1" t="s">
        <v>408</v>
      </c>
      <c r="B26" s="36">
        <v>0</v>
      </c>
      <c r="G26" s="28" t="s">
        <v>409</v>
      </c>
      <c r="H26" s="13" t="e">
        <f>IF(H25&gt;=25%,"Mediana","Média")</f>
        <v>#DIV/0!</v>
      </c>
    </row>
    <row r="27" spans="1:1005" ht="15">
      <c r="A27" s="1" t="s">
        <v>410</v>
      </c>
      <c r="B27" s="36">
        <v>0</v>
      </c>
    </row>
    <row r="29" spans="1:1005" ht="14.45" customHeight="1">
      <c r="A29" s="223" t="s">
        <v>421</v>
      </c>
      <c r="B29" s="224"/>
    </row>
    <row r="30" spans="1:1005" ht="15">
      <c r="A30" s="9" t="s">
        <v>412</v>
      </c>
      <c r="B30" s="18">
        <v>0</v>
      </c>
    </row>
    <row r="31" spans="1:1005" ht="15">
      <c r="A31" s="9" t="s">
        <v>413</v>
      </c>
      <c r="B31" s="19">
        <f>B30/30</f>
        <v>0</v>
      </c>
      <c r="G31" s="106"/>
    </row>
    <row r="32" spans="1:1005" ht="15">
      <c r="B32" s="95"/>
    </row>
    <row r="36" spans="1:8" ht="47.25" customHeight="1">
      <c r="A36" s="1" t="s">
        <v>30</v>
      </c>
      <c r="B36" s="86" t="s">
        <v>392</v>
      </c>
      <c r="C36" s="88" t="s">
        <v>393</v>
      </c>
      <c r="D36" s="94" t="s">
        <v>422</v>
      </c>
      <c r="E36" s="1" t="s">
        <v>423</v>
      </c>
      <c r="F36" s="1" t="s">
        <v>424</v>
      </c>
      <c r="G36" s="88" t="s">
        <v>397</v>
      </c>
      <c r="H36" s="87" t="s">
        <v>425</v>
      </c>
    </row>
    <row r="37" spans="1:8" ht="30.75">
      <c r="A37" s="21" t="s">
        <v>399</v>
      </c>
      <c r="B37" s="17" t="s">
        <v>400</v>
      </c>
      <c r="C37" s="112">
        <v>148.4</v>
      </c>
      <c r="D37" s="111">
        <v>209.4</v>
      </c>
      <c r="E37" s="111">
        <v>131.37</v>
      </c>
      <c r="F37" s="111">
        <v>130.57</v>
      </c>
      <c r="G37" s="112">
        <v>127.08</v>
      </c>
      <c r="H37" s="111">
        <v>181.05</v>
      </c>
    </row>
    <row r="38" spans="1:8" ht="15">
      <c r="C38" s="83"/>
      <c r="D38" s="83"/>
    </row>
    <row r="39" spans="1:8">
      <c r="A39" s="1" t="s">
        <v>401</v>
      </c>
      <c r="B39" s="35">
        <f>AVERAGE(C37:H37)</f>
        <v>154.64500000000001</v>
      </c>
    </row>
    <row r="40" spans="1:8">
      <c r="A40" s="1" t="s">
        <v>402</v>
      </c>
      <c r="B40" s="35">
        <f>_xlfn.STDEV.S(C37:H37)</f>
        <v>33.512667903346475</v>
      </c>
      <c r="G40" s="28" t="s">
        <v>403</v>
      </c>
      <c r="H40" s="13">
        <f>COUNTIFS(C37:H37,"&gt;="&amp;B41,C37:H37,"&lt;="&amp;B42)</f>
        <v>5</v>
      </c>
    </row>
    <row r="41" spans="1:8">
      <c r="A41" s="1" t="s">
        <v>404</v>
      </c>
      <c r="B41" s="35">
        <f>B39-B40</f>
        <v>121.13233209665353</v>
      </c>
      <c r="G41" s="28" t="s">
        <v>405</v>
      </c>
      <c r="H41" s="39">
        <f>_xlfn.STDEV.S(C37,E37,F37,G37,H37)</f>
        <v>22.459755786739919</v>
      </c>
    </row>
    <row r="42" spans="1:8">
      <c r="A42" s="1" t="s">
        <v>406</v>
      </c>
      <c r="B42" s="35">
        <f>B39+B40</f>
        <v>188.15766790334649</v>
      </c>
      <c r="G42" s="28" t="s">
        <v>407</v>
      </c>
      <c r="H42" s="37">
        <f>H41/(AVERAGE(C37,E37,F37,G37,H37))</f>
        <v>0.1563026694694275</v>
      </c>
    </row>
    <row r="43" spans="1:8">
      <c r="A43" s="1" t="s">
        <v>408</v>
      </c>
      <c r="B43" s="36">
        <f>AVERAGEIFS(C37:H37,C37:H37,"&lt;="&amp;B42,C37:H37,"&gt;="&amp;B41)</f>
        <v>143.69400000000002</v>
      </c>
      <c r="G43" s="28" t="s">
        <v>409</v>
      </c>
      <c r="H43" s="13" t="str">
        <f>IF(H42&gt;=25%,"Mediana","Média")</f>
        <v>Média</v>
      </c>
    </row>
    <row r="44" spans="1:8">
      <c r="A44" s="1" t="s">
        <v>410</v>
      </c>
      <c r="B44" s="36">
        <f>MEDIAN(D37,E37,F37,H37)</f>
        <v>156.21</v>
      </c>
    </row>
    <row r="46" spans="1:8" ht="15">
      <c r="A46" s="135" t="s">
        <v>426</v>
      </c>
      <c r="B46" s="135"/>
    </row>
    <row r="47" spans="1:8">
      <c r="A47" s="9" t="s">
        <v>412</v>
      </c>
      <c r="B47" s="18">
        <f>B43*6</f>
        <v>862.1640000000001</v>
      </c>
    </row>
    <row r="48" spans="1:8">
      <c r="A48" s="9" t="s">
        <v>413</v>
      </c>
      <c r="B48" s="19">
        <f>B47/30</f>
        <v>28.738800000000005</v>
      </c>
    </row>
    <row r="49" spans="2:992" ht="15">
      <c r="B49" s="95"/>
    </row>
    <row r="52" spans="2:992">
      <c r="AKW52"/>
      <c r="AKX52"/>
      <c r="AKY52"/>
      <c r="AKZ52"/>
      <c r="ALA52"/>
      <c r="ALB52"/>
      <c r="ALC52"/>
      <c r="ALD52"/>
    </row>
    <row r="53" spans="2:992">
      <c r="AKU53"/>
      <c r="AKV53"/>
      <c r="AKW53"/>
      <c r="AKX53"/>
      <c r="AKY53"/>
      <c r="AKZ53"/>
      <c r="ALA53"/>
      <c r="ALB53"/>
      <c r="ALC53"/>
      <c r="ALD53"/>
    </row>
    <row r="54" spans="2:992">
      <c r="AKW54"/>
      <c r="AKX54"/>
      <c r="AKY54"/>
      <c r="AKZ54"/>
      <c r="ALA54"/>
      <c r="ALB54"/>
      <c r="ALC54"/>
      <c r="ALD54"/>
    </row>
    <row r="55" spans="2:992">
      <c r="AKW55"/>
      <c r="AKX55"/>
      <c r="AKY55"/>
      <c r="AKZ55"/>
      <c r="ALA55"/>
      <c r="ALB55"/>
      <c r="ALC55"/>
      <c r="ALD55"/>
    </row>
    <row r="56" spans="2:992">
      <c r="AKW56"/>
      <c r="AKX56"/>
      <c r="AKY56"/>
      <c r="AKZ56"/>
      <c r="ALA56"/>
      <c r="ALB56"/>
      <c r="ALC56"/>
      <c r="ALD56"/>
    </row>
    <row r="57" spans="2:992">
      <c r="AKW57"/>
      <c r="AKX57"/>
      <c r="AKY57"/>
      <c r="AKZ57"/>
      <c r="ALA57"/>
      <c r="ALB57"/>
      <c r="ALC57"/>
      <c r="ALD57"/>
    </row>
    <row r="58" spans="2:992">
      <c r="AKW58"/>
      <c r="AKX58"/>
      <c r="AKY58"/>
      <c r="AKZ58"/>
      <c r="ALA58"/>
      <c r="ALB58"/>
      <c r="ALC58"/>
      <c r="ALD58"/>
    </row>
    <row r="59" spans="2:992">
      <c r="AKW59"/>
      <c r="AKX59"/>
      <c r="AKY59"/>
      <c r="AKZ59"/>
      <c r="ALA59"/>
      <c r="ALB59"/>
      <c r="ALC59"/>
      <c r="ALD59"/>
    </row>
    <row r="60" spans="2:992">
      <c r="AKW60"/>
      <c r="AKX60"/>
      <c r="AKY60"/>
      <c r="AKZ60"/>
      <c r="ALA60"/>
      <c r="ALB60"/>
      <c r="ALC60"/>
      <c r="ALD60"/>
    </row>
    <row r="61" spans="2:992">
      <c r="AKW61"/>
      <c r="AKX61"/>
      <c r="AKY61"/>
      <c r="AKZ61"/>
      <c r="ALA61"/>
      <c r="ALB61"/>
      <c r="ALC61"/>
      <c r="ALD61"/>
    </row>
    <row r="62" spans="2:992">
      <c r="AKW62"/>
      <c r="AKX62"/>
      <c r="AKY62"/>
      <c r="AKZ62"/>
      <c r="ALA62"/>
      <c r="ALB62"/>
      <c r="ALC62"/>
      <c r="ALD62"/>
    </row>
    <row r="63" spans="2:992">
      <c r="AKW63"/>
      <c r="AKX63"/>
      <c r="AKY63"/>
      <c r="AKZ63"/>
      <c r="ALA63"/>
      <c r="ALB63"/>
      <c r="ALC63"/>
      <c r="ALD63"/>
    </row>
    <row r="64" spans="2:992">
      <c r="AKW64"/>
      <c r="AKX64"/>
      <c r="AKY64"/>
      <c r="AKZ64"/>
      <c r="ALA64"/>
      <c r="ALB64"/>
      <c r="ALC64"/>
      <c r="ALD64"/>
    </row>
    <row r="65" spans="985:992">
      <c r="AKW65"/>
      <c r="AKX65"/>
      <c r="AKY65"/>
      <c r="AKZ65"/>
      <c r="ALA65"/>
      <c r="ALB65"/>
      <c r="ALC65"/>
      <c r="ALD65"/>
    </row>
    <row r="66" spans="985:992">
      <c r="AKW66"/>
      <c r="AKX66"/>
      <c r="AKY66"/>
      <c r="AKZ66"/>
      <c r="ALA66"/>
      <c r="ALB66"/>
      <c r="ALC66"/>
      <c r="ALD66"/>
    </row>
  </sheetData>
  <mergeCells count="4">
    <mergeCell ref="A12:B12"/>
    <mergeCell ref="A29:B29"/>
    <mergeCell ref="A46:B46"/>
    <mergeCell ref="B18:D18"/>
  </mergeCells>
  <pageMargins left="0.511811024" right="0.511811024" top="0.78740157499999996" bottom="0.78740157499999996" header="0.31496062000000002" footer="0.31496062000000002"/>
  <pageSetup paperSize="9" scale="5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AE3A24-91D2-4381-BF60-5418228896D7}">
  <sheetPr>
    <tabColor theme="4" tint="0.79998168889431442"/>
  </sheetPr>
  <dimension ref="A1:K25"/>
  <sheetViews>
    <sheetView topLeftCell="A15" workbookViewId="0">
      <selection activeCell="K30" sqref="K30"/>
    </sheetView>
  </sheetViews>
  <sheetFormatPr defaultRowHeight="15"/>
  <cols>
    <col min="2" max="2" width="16.140625" customWidth="1"/>
    <col min="5" max="5" width="16.140625" customWidth="1"/>
    <col min="6" max="6" width="20.85546875" customWidth="1"/>
    <col min="7" max="7" width="17.42578125" customWidth="1"/>
    <col min="8" max="8" width="25.42578125" customWidth="1"/>
    <col min="9" max="9" width="18.42578125" customWidth="1"/>
    <col min="10" max="10" width="22.85546875" customWidth="1"/>
    <col min="11" max="11" width="20.42578125" customWidth="1"/>
  </cols>
  <sheetData>
    <row r="1" spans="1:11">
      <c r="E1" t="s">
        <v>427</v>
      </c>
    </row>
    <row r="2" spans="1:11">
      <c r="E2" s="180" t="s">
        <v>428</v>
      </c>
      <c r="F2" s="181"/>
      <c r="G2" s="176" t="s">
        <v>429</v>
      </c>
      <c r="H2" s="177"/>
      <c r="I2" s="180" t="s">
        <v>430</v>
      </c>
      <c r="J2" s="228"/>
      <c r="K2" s="97" t="s">
        <v>401</v>
      </c>
    </row>
    <row r="3" spans="1:11" ht="60.75">
      <c r="A3" s="98">
        <v>1</v>
      </c>
      <c r="B3" s="68" t="s">
        <v>431</v>
      </c>
      <c r="C3" s="99" t="s">
        <v>173</v>
      </c>
      <c r="D3" s="68">
        <v>4</v>
      </c>
      <c r="E3" s="49">
        <v>47.9</v>
      </c>
      <c r="F3" s="49">
        <f>E3*4</f>
        <v>191.6</v>
      </c>
      <c r="G3" s="50">
        <v>62.9</v>
      </c>
      <c r="H3" s="50">
        <f>G3*4</f>
        <v>251.6</v>
      </c>
      <c r="I3" s="49">
        <v>57.8</v>
      </c>
      <c r="J3" s="96">
        <f>I3*4</f>
        <v>231.2</v>
      </c>
      <c r="K3" s="100">
        <f>AVERAGE(F3,H3,J3)</f>
        <v>224.79999999999998</v>
      </c>
    </row>
    <row r="4" spans="1:11">
      <c r="A4" s="53"/>
      <c r="B4" s="101"/>
      <c r="C4" s="68"/>
      <c r="D4" s="68"/>
      <c r="E4" s="180"/>
      <c r="F4" s="181"/>
      <c r="G4" s="176"/>
      <c r="H4" s="177"/>
      <c r="I4" s="180"/>
      <c r="J4" s="228"/>
      <c r="K4" s="100"/>
    </row>
    <row r="5" spans="1:11" ht="45.75">
      <c r="A5" s="53">
        <v>2</v>
      </c>
      <c r="B5" s="56" t="s">
        <v>432</v>
      </c>
      <c r="C5" s="68" t="s">
        <v>173</v>
      </c>
      <c r="D5" s="68">
        <v>4</v>
      </c>
      <c r="E5" s="49">
        <v>42.9</v>
      </c>
      <c r="F5" s="49">
        <f>E5*4</f>
        <v>171.6</v>
      </c>
      <c r="G5" s="50">
        <v>71.900000000000006</v>
      </c>
      <c r="H5" s="50">
        <f>G5*4</f>
        <v>287.60000000000002</v>
      </c>
      <c r="I5" s="49">
        <v>47.9</v>
      </c>
      <c r="J5" s="96">
        <f>I5*4</f>
        <v>191.6</v>
      </c>
      <c r="K5" s="100">
        <f t="shared" ref="K5:K17" si="0">AVERAGE(F5,H5,J5)</f>
        <v>216.93333333333337</v>
      </c>
    </row>
    <row r="6" spans="1:11">
      <c r="A6" s="53"/>
      <c r="B6" s="68"/>
      <c r="C6" s="68"/>
      <c r="D6" s="68"/>
      <c r="E6" s="180" t="s">
        <v>433</v>
      </c>
      <c r="F6" s="181"/>
      <c r="G6" s="176" t="s">
        <v>434</v>
      </c>
      <c r="H6" s="177"/>
      <c r="I6" s="180" t="s">
        <v>435</v>
      </c>
      <c r="J6" s="228"/>
      <c r="K6" s="100"/>
    </row>
    <row r="7" spans="1:11" ht="91.5">
      <c r="A7" s="53">
        <v>3</v>
      </c>
      <c r="B7" s="68" t="s">
        <v>436</v>
      </c>
      <c r="C7" s="68" t="s">
        <v>437</v>
      </c>
      <c r="D7" s="68">
        <v>2</v>
      </c>
      <c r="E7" s="49">
        <v>141.29</v>
      </c>
      <c r="F7" s="49">
        <f>E7*2</f>
        <v>282.58</v>
      </c>
      <c r="G7" s="50">
        <v>96.49</v>
      </c>
      <c r="H7" s="50">
        <f>G7*2</f>
        <v>192.98</v>
      </c>
      <c r="I7" s="49">
        <v>149.9</v>
      </c>
      <c r="J7" s="96">
        <f>I7*2</f>
        <v>299.8</v>
      </c>
      <c r="K7" s="100">
        <f t="shared" si="0"/>
        <v>258.45333333333332</v>
      </c>
    </row>
    <row r="8" spans="1:11">
      <c r="A8" s="53"/>
      <c r="B8" s="68"/>
      <c r="C8" s="68"/>
      <c r="D8" s="68"/>
      <c r="E8" s="180" t="s">
        <v>438</v>
      </c>
      <c r="F8" s="181"/>
      <c r="G8" s="176" t="s">
        <v>439</v>
      </c>
      <c r="H8" s="177"/>
      <c r="I8" s="180" t="s">
        <v>440</v>
      </c>
      <c r="J8" s="228"/>
      <c r="K8" s="100"/>
    </row>
    <row r="9" spans="1:11" ht="30.75">
      <c r="A9" s="53">
        <v>4</v>
      </c>
      <c r="B9" s="68" t="s">
        <v>441</v>
      </c>
      <c r="C9" s="68" t="s">
        <v>437</v>
      </c>
      <c r="D9" s="68">
        <v>4</v>
      </c>
      <c r="E9" s="49">
        <v>12</v>
      </c>
      <c r="F9" s="49">
        <f>E9*4</f>
        <v>48</v>
      </c>
      <c r="G9" s="50">
        <v>12.99</v>
      </c>
      <c r="H9" s="50">
        <f>G9*4</f>
        <v>51.96</v>
      </c>
      <c r="I9" s="49">
        <v>18.899999999999999</v>
      </c>
      <c r="J9" s="96">
        <f>I9*4</f>
        <v>75.599999999999994</v>
      </c>
      <c r="K9" s="100">
        <f t="shared" si="0"/>
        <v>58.52</v>
      </c>
    </row>
    <row r="10" spans="1:11">
      <c r="A10" s="53"/>
      <c r="B10" s="68"/>
      <c r="C10" s="68"/>
      <c r="D10" s="68"/>
      <c r="E10" s="180" t="s">
        <v>442</v>
      </c>
      <c r="F10" s="181"/>
      <c r="G10" s="176" t="s">
        <v>435</v>
      </c>
      <c r="H10" s="177"/>
      <c r="I10" s="180" t="s">
        <v>443</v>
      </c>
      <c r="J10" s="228"/>
      <c r="K10" s="100"/>
    </row>
    <row r="11" spans="1:11" ht="137.25">
      <c r="A11" s="53">
        <v>5</v>
      </c>
      <c r="B11" s="68" t="s">
        <v>444</v>
      </c>
      <c r="C11" s="68" t="s">
        <v>173</v>
      </c>
      <c r="D11" s="68">
        <v>4</v>
      </c>
      <c r="E11" s="49">
        <v>79</v>
      </c>
      <c r="F11" s="49">
        <f>E11*4</f>
        <v>316</v>
      </c>
      <c r="G11" s="50">
        <v>79</v>
      </c>
      <c r="H11" s="50">
        <f>G11*4</f>
        <v>316</v>
      </c>
      <c r="I11" s="49">
        <v>95.26</v>
      </c>
      <c r="J11" s="96">
        <f>I11*4</f>
        <v>381.04</v>
      </c>
      <c r="K11" s="100">
        <f t="shared" si="0"/>
        <v>337.68</v>
      </c>
    </row>
    <row r="12" spans="1:11">
      <c r="A12" s="53"/>
      <c r="B12" s="68"/>
      <c r="C12" s="68"/>
      <c r="D12" s="68"/>
      <c r="E12" s="180" t="s">
        <v>445</v>
      </c>
      <c r="F12" s="181"/>
      <c r="G12" s="176" t="s">
        <v>446</v>
      </c>
      <c r="H12" s="177"/>
      <c r="I12" s="180" t="s">
        <v>447</v>
      </c>
      <c r="J12" s="228"/>
      <c r="K12" s="100"/>
    </row>
    <row r="13" spans="1:11" ht="45.75">
      <c r="A13" s="53">
        <v>6</v>
      </c>
      <c r="B13" s="68" t="s">
        <v>448</v>
      </c>
      <c r="C13" s="68" t="s">
        <v>437</v>
      </c>
      <c r="D13" s="68">
        <v>12</v>
      </c>
      <c r="E13" s="49">
        <v>35.97</v>
      </c>
      <c r="F13" s="49">
        <f>E13*12</f>
        <v>431.64</v>
      </c>
      <c r="G13" s="50">
        <v>22.5</v>
      </c>
      <c r="H13" s="50">
        <f>G13*12</f>
        <v>270</v>
      </c>
      <c r="I13" s="49">
        <v>16.72</v>
      </c>
      <c r="J13" s="96">
        <f>I13*12</f>
        <v>200.64</v>
      </c>
      <c r="K13" s="100">
        <f t="shared" si="0"/>
        <v>300.76</v>
      </c>
    </row>
    <row r="14" spans="1:11">
      <c r="A14" s="53"/>
      <c r="B14" s="68"/>
      <c r="C14" s="68"/>
      <c r="D14" s="68"/>
      <c r="E14" s="180" t="s">
        <v>449</v>
      </c>
      <c r="F14" s="181"/>
      <c r="G14" s="176" t="s">
        <v>434</v>
      </c>
      <c r="H14" s="177"/>
      <c r="I14" s="180" t="s">
        <v>450</v>
      </c>
      <c r="J14" s="228"/>
      <c r="K14" s="100"/>
    </row>
    <row r="15" spans="1:11" ht="30.75">
      <c r="A15" s="53">
        <v>7</v>
      </c>
      <c r="B15" s="68" t="s">
        <v>451</v>
      </c>
      <c r="C15" s="68" t="s">
        <v>173</v>
      </c>
      <c r="D15" s="68">
        <v>1</v>
      </c>
      <c r="E15" s="49">
        <v>33.9</v>
      </c>
      <c r="F15" s="49">
        <f>E15*1</f>
        <v>33.9</v>
      </c>
      <c r="G15" s="50">
        <v>21.19</v>
      </c>
      <c r="H15" s="50">
        <f>G15*1</f>
        <v>21.19</v>
      </c>
      <c r="I15" s="49">
        <v>22.9</v>
      </c>
      <c r="J15" s="96">
        <f>I15*1</f>
        <v>22.9</v>
      </c>
      <c r="K15" s="100">
        <f t="shared" si="0"/>
        <v>25.99666666666667</v>
      </c>
    </row>
    <row r="16" spans="1:11">
      <c r="A16" s="53"/>
      <c r="B16" s="68"/>
      <c r="C16" s="68"/>
      <c r="D16" s="68"/>
      <c r="E16" s="180" t="s">
        <v>443</v>
      </c>
      <c r="F16" s="181"/>
      <c r="G16" s="176" t="s">
        <v>452</v>
      </c>
      <c r="H16" s="177"/>
      <c r="I16" s="180" t="s">
        <v>453</v>
      </c>
      <c r="J16" s="228"/>
      <c r="K16" s="100"/>
    </row>
    <row r="17" spans="1:11" ht="106.5">
      <c r="A17" s="53">
        <v>8</v>
      </c>
      <c r="B17" s="68" t="s">
        <v>454</v>
      </c>
      <c r="C17" s="68" t="s">
        <v>173</v>
      </c>
      <c r="D17" s="68">
        <v>1</v>
      </c>
      <c r="E17" s="49">
        <v>40.9</v>
      </c>
      <c r="F17" s="49">
        <f>E17*1</f>
        <v>40.9</v>
      </c>
      <c r="G17" s="50">
        <v>35</v>
      </c>
      <c r="H17" s="50">
        <f>G17*1</f>
        <v>35</v>
      </c>
      <c r="I17" s="49">
        <v>42.62</v>
      </c>
      <c r="J17" s="102">
        <f>I17*1</f>
        <v>42.62</v>
      </c>
      <c r="K17" s="103">
        <f t="shared" si="0"/>
        <v>39.506666666666668</v>
      </c>
    </row>
    <row r="18" spans="1:11">
      <c r="J18" s="104" t="s">
        <v>455</v>
      </c>
      <c r="K18" s="105">
        <f>SUM(K3:K17)</f>
        <v>1462.65</v>
      </c>
    </row>
    <row r="19" spans="1:11">
      <c r="J19" s="104" t="s">
        <v>456</v>
      </c>
      <c r="K19" s="105">
        <f>K18/12</f>
        <v>121.8875</v>
      </c>
    </row>
    <row r="23" spans="1:11">
      <c r="J23" s="223" t="s">
        <v>421</v>
      </c>
      <c r="K23" s="224"/>
    </row>
    <row r="24" spans="1:11">
      <c r="J24" s="9" t="s">
        <v>412</v>
      </c>
      <c r="K24" s="18">
        <f>K19*6</f>
        <v>731.32500000000005</v>
      </c>
    </row>
    <row r="25" spans="1:11">
      <c r="J25" s="9" t="s">
        <v>413</v>
      </c>
      <c r="K25" s="19">
        <f>K24/30</f>
        <v>24.377500000000001</v>
      </c>
    </row>
  </sheetData>
  <mergeCells count="25">
    <mergeCell ref="J23:K23"/>
    <mergeCell ref="E14:F14"/>
    <mergeCell ref="G14:H14"/>
    <mergeCell ref="I14:J14"/>
    <mergeCell ref="E16:F16"/>
    <mergeCell ref="G16:H16"/>
    <mergeCell ref="I16:J16"/>
    <mergeCell ref="E10:F10"/>
    <mergeCell ref="G10:H10"/>
    <mergeCell ref="I10:J10"/>
    <mergeCell ref="E12:F12"/>
    <mergeCell ref="G12:H12"/>
    <mergeCell ref="I12:J12"/>
    <mergeCell ref="E6:F6"/>
    <mergeCell ref="G6:H6"/>
    <mergeCell ref="I6:J6"/>
    <mergeCell ref="E8:F8"/>
    <mergeCell ref="G8:H8"/>
    <mergeCell ref="I8:J8"/>
    <mergeCell ref="E2:F2"/>
    <mergeCell ref="G2:H2"/>
    <mergeCell ref="I2:J2"/>
    <mergeCell ref="E4:F4"/>
    <mergeCell ref="G4:H4"/>
    <mergeCell ref="I4:J4"/>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equ_x00ea_ncia xmlns="dde6f5bc-b404-4e2c-a422-7845fe9322ec" xsi:nil="true"/>
    <lcf76f155ced4ddcb4097134ff3c332f xmlns="dde6f5bc-b404-4e2c-a422-7845fe9322ec">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389656DB13546F4BBA4AB4AD0D61AE51" ma:contentTypeVersion="11" ma:contentTypeDescription="Crie um novo documento." ma:contentTypeScope="" ma:versionID="ee13f86e6cad1d573f6a0b518dd2ebeb">
  <xsd:schema xmlns:xsd="http://www.w3.org/2001/XMLSchema" xmlns:xs="http://www.w3.org/2001/XMLSchema" xmlns:p="http://schemas.microsoft.com/office/2006/metadata/properties" xmlns:ns2="dde6f5bc-b404-4e2c-a422-7845fe9322ec" targetNamespace="http://schemas.microsoft.com/office/2006/metadata/properties" ma:root="true" ma:fieldsID="e3725ff02b3ea4c17fe4c075cc03f9d9" ns2:_="">
    <xsd:import namespace="dde6f5bc-b404-4e2c-a422-7845fe9322ec"/>
    <xsd:element name="properties">
      <xsd:complexType>
        <xsd:sequence>
          <xsd:element name="documentManagement">
            <xsd:complexType>
              <xsd:all>
                <xsd:element ref="ns2:Sequ_x00ea_ncia" minOccurs="0"/>
                <xsd:element ref="ns2:MediaServiceMetadata" minOccurs="0"/>
                <xsd:element ref="ns2:MediaServiceFastMetadata" minOccurs="0"/>
                <xsd:element ref="ns2:MediaServiceSearchPropertie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e6f5bc-b404-4e2c-a422-7845fe9322ec" elementFormDefault="qualified">
    <xsd:import namespace="http://schemas.microsoft.com/office/2006/documentManagement/types"/>
    <xsd:import namespace="http://schemas.microsoft.com/office/infopath/2007/PartnerControls"/>
    <xsd:element name="Sequ_x00ea_ncia" ma:index="8" nillable="true" ma:displayName="Sequência" ma:format="Dropdown" ma:internalName="Sequ_x00ea_ncia" ma:percentage="FALSE">
      <xsd:simpleType>
        <xsd:restriction base="dms:Number"/>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Marcações de imagem" ma:readOnly="false" ma:fieldId="{5cf76f15-5ced-4ddc-b409-7134ff3c332f}" ma:taxonomyMulti="true" ma:sspId="bdff35a1-d86e-423b-b7fd-608caa853e7b"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8D3B485-0557-4098-B790-282DAE3C19ED}"/>
</file>

<file path=customXml/itemProps2.xml><?xml version="1.0" encoding="utf-8"?>
<ds:datastoreItem xmlns:ds="http://schemas.openxmlformats.org/officeDocument/2006/customXml" ds:itemID="{78C7F255-1CC8-43D9-9E2E-3766C72D87C6}"/>
</file>

<file path=customXml/itemProps3.xml><?xml version="1.0" encoding="utf-8"?>
<ds:datastoreItem xmlns:ds="http://schemas.openxmlformats.org/officeDocument/2006/customXml" ds:itemID="{C3FDE426-D663-49D8-8B66-DC4D2793562C}"/>
</file>

<file path=docMetadata/LabelInfo.xml><?xml version="1.0" encoding="utf-8"?>
<clbl:labelList xmlns:clbl="http://schemas.microsoft.com/office/2020/mipLabelMetadata">
  <clbl:label id="{defa4170-0d19-0005-0001-bc88714345d2}" enabled="1" method="Standard" siteId="{5aba04a1-f863-4b56-817d-44291c90d1b8}" removed="0"/>
</clbl:labelLis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Ivan Luiz Graziato</dc:creator>
  <cp:keywords/>
  <dc:description/>
  <cp:lastModifiedBy>Estefania Martins Gonzaga</cp:lastModifiedBy>
  <cp:revision>33</cp:revision>
  <dcterms:created xsi:type="dcterms:W3CDTF">2021-12-30T17:46:26Z</dcterms:created>
  <dcterms:modified xsi:type="dcterms:W3CDTF">2025-05-28T17:48:10Z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MSIP_Label_0559fe9b-6987-45ef-b918-e76911e153f0_Enabled">
    <vt:lpwstr>true</vt:lpwstr>
  </property>
  <property fmtid="{D5CDD505-2E9C-101B-9397-08002B2CF9AE}" pid="9" name="MSIP_Label_0559fe9b-6987-45ef-b918-e76911e153f0_SetDate">
    <vt:lpwstr>2023-05-30T12:39:28Z</vt:lpwstr>
  </property>
  <property fmtid="{D5CDD505-2E9C-101B-9397-08002B2CF9AE}" pid="10" name="MSIP_Label_0559fe9b-6987-45ef-b918-e76911e153f0_Method">
    <vt:lpwstr>Privileged</vt:lpwstr>
  </property>
  <property fmtid="{D5CDD505-2E9C-101B-9397-08002B2CF9AE}" pid="11" name="MSIP_Label_0559fe9b-6987-45ef-b918-e76911e153f0_Name">
    <vt:lpwstr>Público</vt:lpwstr>
  </property>
  <property fmtid="{D5CDD505-2E9C-101B-9397-08002B2CF9AE}" pid="12" name="MSIP_Label_0559fe9b-6987-45ef-b918-e76911e153f0_SiteId">
    <vt:lpwstr>eb090420-444c-43f7-91f2-4b8da6bfe8e1</vt:lpwstr>
  </property>
  <property fmtid="{D5CDD505-2E9C-101B-9397-08002B2CF9AE}" pid="13" name="MSIP_Label_0559fe9b-6987-45ef-b918-e76911e153f0_ActionId">
    <vt:lpwstr>1beeb608-9c45-4668-8857-84405555c9ad</vt:lpwstr>
  </property>
  <property fmtid="{D5CDD505-2E9C-101B-9397-08002B2CF9AE}" pid="14" name="MSIP_Label_0559fe9b-6987-45ef-b918-e76911e153f0_ContentBits">
    <vt:lpwstr>0</vt:lpwstr>
  </property>
  <property fmtid="{D5CDD505-2E9C-101B-9397-08002B2CF9AE}" pid="15" name="ContentTypeId">
    <vt:lpwstr>0x010100389656DB13546F4BBA4AB4AD0D61AE51</vt:lpwstr>
  </property>
  <property fmtid="{D5CDD505-2E9C-101B-9397-08002B2CF9AE}" pid="16" name="MediaServiceImageTags">
    <vt:lpwstr/>
  </property>
</Properties>
</file>